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fuentes\Desktop\INDEFINIDOS REGLAMENTO ANTERIOR\Nueva carpeta\"/>
    </mc:Choice>
  </mc:AlternateContent>
  <workbookProtection workbookAlgorithmName="SHA-512" workbookHashValue="o/I1d8TEEylaRzbnJ8HUlqsO3cBTyxIdJHr3/WD2bonUgBLsZCXTxDa4uHTA81LPa9p9EZI30QGz6U4FBxHaLA==" workbookSaltValue="FGaQa0n6fFXSf/0pa6YqqQ==" workbookSpinCount="100000" lockStructure="1"/>
  <bookViews>
    <workbookView xWindow="0" yWindow="0" windowWidth="19440" windowHeight="11700" tabRatio="859" activeTab="2"/>
  </bookViews>
  <sheets>
    <sheet name="INVESTIGADOR SENIOR" sheetId="7" r:id="rId1"/>
    <sheet name="INVESTIGADOR JUNIOR" sheetId="13" r:id="rId2"/>
    <sheet name="INVEST. EN FORMACIÓN-PRÁCTICAS" sheetId="14" r:id="rId3"/>
    <sheet name="TITULADOS SUPERIORES I" sheetId="12" r:id="rId4"/>
    <sheet name="TITULADOS SUPERIORES II" sheetId="11" r:id="rId5"/>
    <sheet name="TITULADOS DE GRADO MEDIO" sheetId="5" r:id="rId6"/>
    <sheet name="ESPECIALISTAS TECNICOS" sheetId="4" r:id="rId7"/>
    <sheet name="AUXILIARES" sheetId="2" r:id="rId8"/>
    <sheet name="PARAMETROS" sheetId="3" state="hidden" r:id="rId9"/>
  </sheets>
  <definedNames>
    <definedName name="_xlnm.Print_Area" localSheetId="7">AUXILIARES!$A$2:$D$39</definedName>
    <definedName name="_xlnm.Print_Area" localSheetId="2">'INVEST. EN FORMACIÓN-PRÁCTICAS'!$A$2:$C$10</definedName>
    <definedName name="_xlnm.Print_Area" localSheetId="1">'INVESTIGADOR JUNIOR'!$A$2:$G$40</definedName>
    <definedName name="_xlnm.Print_Area" localSheetId="0">'INVESTIGADOR SENIOR'!$A$2:$G$40</definedName>
    <definedName name="_xlnm.Print_Area" localSheetId="5">'TITULADOS DE GRADO MEDIO'!$A$2:$G$40</definedName>
    <definedName name="_xlnm.Print_Area" localSheetId="3">'TITULADOS SUPERIORES I'!$A$2:$G$40</definedName>
    <definedName name="_xlnm.Print_Area" localSheetId="4">'TITULADOS SUPERIORES II'!$A$2:$G$40</definedName>
    <definedName name="RETRIBUCION">#REF!</definedName>
    <definedName name="_xlnm.Print_Titles" localSheetId="7">AUXILIARES!$2:$2</definedName>
    <definedName name="_xlnm.Print_Titles" localSheetId="2">'INVEST. EN FORMACIÓN-PRÁCTICAS'!$2:$3</definedName>
    <definedName name="_xlnm.Print_Titles" localSheetId="1">'INVESTIGADOR JUNIOR'!$2:$3</definedName>
    <definedName name="_xlnm.Print_Titles" localSheetId="0">'INVESTIGADOR SENIOR'!$2:$3</definedName>
    <definedName name="_xlnm.Print_Titles" localSheetId="5">'TITULADOS DE GRADO MEDIO'!$2:$3</definedName>
    <definedName name="_xlnm.Print_Titles" localSheetId="3">'TITULADOS SUPERIORES I'!$2:$3</definedName>
    <definedName name="_xlnm.Print_Titles" localSheetId="4">'TITULADOS SUPERIORES II'!$2:$3</definedName>
  </definedNames>
  <calcPr calcId="162913"/>
</workbook>
</file>

<file path=xl/calcChain.xml><?xml version="1.0" encoding="utf-8"?>
<calcChain xmlns="http://schemas.openxmlformats.org/spreadsheetml/2006/main">
  <c r="B8" i="14" l="1"/>
  <c r="C8" i="14" s="1"/>
  <c r="B7" i="14"/>
  <c r="D7" i="14" s="1"/>
  <c r="D6" i="14"/>
  <c r="C6" i="14"/>
  <c r="B6" i="14"/>
  <c r="C5" i="14"/>
  <c r="B5" i="14"/>
  <c r="D5" i="14" s="1"/>
  <c r="D4" i="14"/>
  <c r="C4" i="14"/>
  <c r="C7" i="14" l="1"/>
  <c r="C10" i="14" s="1"/>
  <c r="D8" i="14"/>
  <c r="B10" i="14"/>
  <c r="D10" i="14" s="1"/>
  <c r="F32" i="2"/>
  <c r="F32" i="4"/>
  <c r="I32" i="5"/>
  <c r="I32" i="11"/>
  <c r="I32" i="12"/>
  <c r="I32" i="13"/>
  <c r="I32" i="7"/>
  <c r="C5" i="7" l="1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F32" i="3" l="1"/>
  <c r="F20" i="3"/>
  <c r="B14" i="3" l="1"/>
  <c r="B15" i="3"/>
  <c r="E64" i="3" l="1"/>
  <c r="D64" i="3"/>
  <c r="E63" i="3"/>
  <c r="D63" i="3"/>
  <c r="E62" i="3"/>
  <c r="D62" i="3"/>
  <c r="E59" i="3"/>
  <c r="E58" i="3"/>
  <c r="D59" i="3"/>
  <c r="D58" i="3"/>
  <c r="G22" i="14" l="1"/>
  <c r="I22" i="14" s="1"/>
  <c r="G11" i="14"/>
  <c r="G20" i="14"/>
  <c r="H24" i="14"/>
  <c r="H13" i="14" l="1"/>
  <c r="I11" i="14"/>
  <c r="G9" i="14"/>
  <c r="I9" i="14" s="1"/>
  <c r="I13" i="14" s="1"/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" i="2"/>
  <c r="H18" i="4" l="1"/>
  <c r="H18" i="2"/>
  <c r="G32" i="2"/>
  <c r="I32" i="2" s="1"/>
  <c r="I34" i="2" s="1"/>
  <c r="G16" i="2"/>
  <c r="I16" i="2" s="1"/>
  <c r="G14" i="2"/>
  <c r="I14" i="2" s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" i="4"/>
  <c r="G32" i="4"/>
  <c r="I32" i="4" s="1"/>
  <c r="I34" i="4" s="1"/>
  <c r="G14" i="4"/>
  <c r="I14" i="4" s="1"/>
  <c r="G16" i="4"/>
  <c r="I16" i="4" s="1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5" i="5"/>
  <c r="J32" i="5"/>
  <c r="L32" i="5" s="1"/>
  <c r="L34" i="5" s="1"/>
  <c r="K18" i="5"/>
  <c r="J16" i="5"/>
  <c r="L16" i="5" s="1"/>
  <c r="J14" i="5"/>
  <c r="L14" i="5" s="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5" i="11"/>
  <c r="J32" i="11"/>
  <c r="L32" i="11" s="1"/>
  <c r="L34" i="11" s="1"/>
  <c r="K18" i="11"/>
  <c r="J16" i="11"/>
  <c r="L16" i="11" s="1"/>
  <c r="J14" i="11"/>
  <c r="L14" i="11" s="1"/>
  <c r="J32" i="12"/>
  <c r="L32" i="12" s="1"/>
  <c r="L34" i="12" s="1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5" i="12"/>
  <c r="K18" i="12"/>
  <c r="J16" i="12"/>
  <c r="L16" i="12" s="1"/>
  <c r="J14" i="12"/>
  <c r="L14" i="12" s="1"/>
  <c r="L18" i="12" l="1"/>
  <c r="L18" i="11"/>
  <c r="I18" i="2"/>
  <c r="D3" i="2" s="1"/>
  <c r="I18" i="4"/>
  <c r="D3" i="4" s="1"/>
  <c r="L18" i="5"/>
  <c r="J32" i="13"/>
  <c r="L32" i="13" s="1"/>
  <c r="L34" i="13" s="1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5" i="13"/>
  <c r="K18" i="13"/>
  <c r="J16" i="13"/>
  <c r="L16" i="13" s="1"/>
  <c r="J14" i="13"/>
  <c r="L14" i="13" s="1"/>
  <c r="L18" i="13" l="1"/>
  <c r="J32" i="7" l="1"/>
  <c r="L32" i="7" s="1"/>
  <c r="L34" i="7" l="1"/>
  <c r="K18" i="7" l="1"/>
  <c r="J16" i="7" l="1"/>
  <c r="L16" i="7" s="1"/>
  <c r="J14" i="7"/>
  <c r="L14" i="7" s="1"/>
  <c r="L18" i="7" l="1"/>
  <c r="F17" i="3"/>
  <c r="C49" i="3" l="1"/>
  <c r="C50" i="3" s="1"/>
  <c r="B49" i="3"/>
  <c r="C42" i="3"/>
  <c r="B42" i="3"/>
  <c r="C35" i="3"/>
  <c r="C36" i="3" s="1"/>
  <c r="B35" i="3"/>
  <c r="C21" i="3"/>
  <c r="C22" i="3" s="1"/>
  <c r="B21" i="3"/>
  <c r="B22" i="3" s="1"/>
  <c r="C14" i="3"/>
  <c r="C15" i="3" s="1"/>
  <c r="C28" i="3"/>
  <c r="C30" i="3" s="1"/>
  <c r="C4" i="3" s="1"/>
  <c r="B28" i="3"/>
  <c r="B30" i="3" s="1"/>
  <c r="B4" i="3" s="1"/>
  <c r="F29" i="3"/>
  <c r="C51" i="3" l="1"/>
  <c r="C7" i="3" s="1"/>
  <c r="F4" i="5" s="1"/>
  <c r="F26" i="5" s="1"/>
  <c r="G26" i="5" s="1"/>
  <c r="F33" i="3"/>
  <c r="B8" i="3" s="1"/>
  <c r="B35" i="4" s="1"/>
  <c r="D35" i="4" s="1"/>
  <c r="F21" i="3"/>
  <c r="B9" i="3" s="1"/>
  <c r="B3" i="2" s="1"/>
  <c r="F30" i="5"/>
  <c r="G30" i="5" s="1"/>
  <c r="C23" i="3"/>
  <c r="B43" i="3"/>
  <c r="B44" i="3" s="1"/>
  <c r="B6" i="3" s="1"/>
  <c r="B4" i="11" s="1"/>
  <c r="C37" i="3"/>
  <c r="C5" i="3" s="1"/>
  <c r="F4" i="12" s="1"/>
  <c r="F32" i="12" s="1"/>
  <c r="G32" i="12" s="1"/>
  <c r="F7" i="5"/>
  <c r="G7" i="5" s="1"/>
  <c r="F23" i="5"/>
  <c r="G23" i="5" s="1"/>
  <c r="C43" i="3"/>
  <c r="C44" i="3" s="1"/>
  <c r="C6" i="3" s="1"/>
  <c r="F4" i="11" s="1"/>
  <c r="G4" i="11" s="1"/>
  <c r="B36" i="3"/>
  <c r="B37" i="3" s="1"/>
  <c r="B5" i="3" s="1"/>
  <c r="B4" i="12" s="1"/>
  <c r="B50" i="3"/>
  <c r="B51" i="3" s="1"/>
  <c r="B7" i="3" s="1"/>
  <c r="B4" i="5" s="1"/>
  <c r="F11" i="5"/>
  <c r="G11" i="5" s="1"/>
  <c r="B16" i="3"/>
  <c r="B2" i="3" s="1"/>
  <c r="B4" i="7" s="1"/>
  <c r="C16" i="3"/>
  <c r="C2" i="3" s="1"/>
  <c r="B23" i="3"/>
  <c r="F12" i="5"/>
  <c r="G12" i="5" s="1"/>
  <c r="F20" i="5"/>
  <c r="G20" i="5" s="1"/>
  <c r="F28" i="5"/>
  <c r="G28" i="5" s="1"/>
  <c r="F32" i="5"/>
  <c r="G32" i="5" s="1"/>
  <c r="F5" i="5"/>
  <c r="G5" i="5" s="1"/>
  <c r="F9" i="5"/>
  <c r="G9" i="5" s="1"/>
  <c r="F17" i="5"/>
  <c r="G17" i="5" s="1"/>
  <c r="F25" i="5"/>
  <c r="G25" i="5" s="1"/>
  <c r="F33" i="5"/>
  <c r="G33" i="5" s="1"/>
  <c r="F37" i="5"/>
  <c r="G37" i="5" s="1"/>
  <c r="B13" i="4" l="1"/>
  <c r="D13" i="4" s="1"/>
  <c r="B12" i="4"/>
  <c r="D12" i="4" s="1"/>
  <c r="B5" i="7"/>
  <c r="D5" i="7" s="1"/>
  <c r="B9" i="7"/>
  <c r="D9" i="7" s="1"/>
  <c r="B13" i="7"/>
  <c r="B17" i="7"/>
  <c r="D17" i="7" s="1"/>
  <c r="B21" i="7"/>
  <c r="B25" i="7"/>
  <c r="D25" i="7" s="1"/>
  <c r="B29" i="7"/>
  <c r="B33" i="7"/>
  <c r="D33" i="7" s="1"/>
  <c r="B37" i="7"/>
  <c r="D37" i="7" s="1"/>
  <c r="B15" i="7"/>
  <c r="D15" i="7" s="1"/>
  <c r="B19" i="7"/>
  <c r="B27" i="7"/>
  <c r="B35" i="7"/>
  <c r="D35" i="7" s="1"/>
  <c r="B8" i="7"/>
  <c r="B16" i="7"/>
  <c r="B24" i="7"/>
  <c r="D24" i="7" s="1"/>
  <c r="B32" i="7"/>
  <c r="B40" i="7"/>
  <c r="D40" i="7" s="1"/>
  <c r="B6" i="7"/>
  <c r="B10" i="7"/>
  <c r="B14" i="7"/>
  <c r="D14" i="7" s="1"/>
  <c r="B18" i="7"/>
  <c r="D18" i="7" s="1"/>
  <c r="B22" i="7"/>
  <c r="B26" i="7"/>
  <c r="D26" i="7" s="1"/>
  <c r="B30" i="7"/>
  <c r="D30" i="7" s="1"/>
  <c r="B34" i="7"/>
  <c r="D34" i="7" s="1"/>
  <c r="B38" i="7"/>
  <c r="B11" i="7"/>
  <c r="B23" i="7"/>
  <c r="B31" i="7"/>
  <c r="D31" i="7" s="1"/>
  <c r="B39" i="7"/>
  <c r="B12" i="7"/>
  <c r="D12" i="7" s="1"/>
  <c r="B20" i="7"/>
  <c r="D20" i="7" s="1"/>
  <c r="B28" i="7"/>
  <c r="D28" i="7" s="1"/>
  <c r="B36" i="7"/>
  <c r="B7" i="7"/>
  <c r="D7" i="7" s="1"/>
  <c r="D32" i="7"/>
  <c r="B24" i="4"/>
  <c r="D24" i="4" s="1"/>
  <c r="F21" i="5"/>
  <c r="G21" i="5" s="1"/>
  <c r="F36" i="5"/>
  <c r="G36" i="5" s="1"/>
  <c r="F16" i="5"/>
  <c r="G16" i="5" s="1"/>
  <c r="B39" i="4"/>
  <c r="D39" i="4" s="1"/>
  <c r="F10" i="5"/>
  <c r="G10" i="5" s="1"/>
  <c r="F20" i="12"/>
  <c r="G20" i="12" s="1"/>
  <c r="G4" i="12"/>
  <c r="F38" i="5"/>
  <c r="G38" i="5" s="1"/>
  <c r="G4" i="5"/>
  <c r="F16" i="12"/>
  <c r="G16" i="12" s="1"/>
  <c r="D16" i="7"/>
  <c r="F29" i="5"/>
  <c r="G29" i="5" s="1"/>
  <c r="F13" i="5"/>
  <c r="G13" i="5" s="1"/>
  <c r="F40" i="5"/>
  <c r="G40" i="5" s="1"/>
  <c r="F24" i="5"/>
  <c r="G24" i="5" s="1"/>
  <c r="F8" i="5"/>
  <c r="G8" i="5" s="1"/>
  <c r="F27" i="5"/>
  <c r="G27" i="5" s="1"/>
  <c r="F19" i="5"/>
  <c r="G19" i="5" s="1"/>
  <c r="F14" i="5"/>
  <c r="G14" i="5" s="1"/>
  <c r="F18" i="5"/>
  <c r="G18" i="5" s="1"/>
  <c r="F34" i="5"/>
  <c r="G34" i="5" s="1"/>
  <c r="F39" i="5"/>
  <c r="G39" i="5" s="1"/>
  <c r="F35" i="5"/>
  <c r="G35" i="5" s="1"/>
  <c r="F6" i="5"/>
  <c r="G6" i="5" s="1"/>
  <c r="F22" i="5"/>
  <c r="G22" i="5" s="1"/>
  <c r="B39" i="11"/>
  <c r="D39" i="11" s="1"/>
  <c r="B38" i="11"/>
  <c r="D38" i="11" s="1"/>
  <c r="B36" i="11"/>
  <c r="D36" i="11" s="1"/>
  <c r="B37" i="11"/>
  <c r="D37" i="11" s="1"/>
  <c r="B24" i="11"/>
  <c r="D24" i="11" s="1"/>
  <c r="B8" i="11"/>
  <c r="D8" i="11" s="1"/>
  <c r="B32" i="11"/>
  <c r="D32" i="11" s="1"/>
  <c r="B33" i="11"/>
  <c r="D33" i="11" s="1"/>
  <c r="B20" i="11"/>
  <c r="D20" i="11" s="1"/>
  <c r="B40" i="11"/>
  <c r="D40" i="11" s="1"/>
  <c r="B28" i="11"/>
  <c r="D28" i="11" s="1"/>
  <c r="B35" i="11"/>
  <c r="D35" i="11" s="1"/>
  <c r="B34" i="11"/>
  <c r="D34" i="11" s="1"/>
  <c r="B31" i="11"/>
  <c r="D31" i="11" s="1"/>
  <c r="B30" i="11"/>
  <c r="D30" i="11" s="1"/>
  <c r="B25" i="11"/>
  <c r="D25" i="11" s="1"/>
  <c r="B29" i="11"/>
  <c r="D29" i="11" s="1"/>
  <c r="B16" i="11"/>
  <c r="D16" i="11" s="1"/>
  <c r="B12" i="11"/>
  <c r="D12" i="11" s="1"/>
  <c r="F28" i="12"/>
  <c r="G28" i="12" s="1"/>
  <c r="F12" i="12"/>
  <c r="G12" i="12" s="1"/>
  <c r="F4" i="7"/>
  <c r="F14" i="7" s="1"/>
  <c r="G14" i="7" s="1"/>
  <c r="F24" i="12"/>
  <c r="G24" i="12" s="1"/>
  <c r="F8" i="12"/>
  <c r="G8" i="12" s="1"/>
  <c r="F36" i="12"/>
  <c r="G36" i="12" s="1"/>
  <c r="F31" i="5"/>
  <c r="G31" i="5" s="1"/>
  <c r="F15" i="5"/>
  <c r="G15" i="5" s="1"/>
  <c r="D36" i="7"/>
  <c r="D8" i="7"/>
  <c r="B34" i="4"/>
  <c r="D34" i="4" s="1"/>
  <c r="B22" i="4"/>
  <c r="D22" i="4" s="1"/>
  <c r="B3" i="4"/>
  <c r="B7" i="4"/>
  <c r="D7" i="4" s="1"/>
  <c r="B33" i="4"/>
  <c r="D33" i="4" s="1"/>
  <c r="B5" i="4"/>
  <c r="D5" i="4" s="1"/>
  <c r="B16" i="4"/>
  <c r="D16" i="4" s="1"/>
  <c r="B26" i="4"/>
  <c r="D26" i="4" s="1"/>
  <c r="B37" i="4"/>
  <c r="D37" i="4" s="1"/>
  <c r="B15" i="4"/>
  <c r="D15" i="4" s="1"/>
  <c r="B4" i="4"/>
  <c r="D4" i="4" s="1"/>
  <c r="B14" i="4"/>
  <c r="D14" i="4" s="1"/>
  <c r="B25" i="4"/>
  <c r="D25" i="4" s="1"/>
  <c r="B36" i="4"/>
  <c r="D36" i="4" s="1"/>
  <c r="B11" i="4"/>
  <c r="D11" i="4" s="1"/>
  <c r="B8" i="4"/>
  <c r="D8" i="4" s="1"/>
  <c r="B18" i="4"/>
  <c r="D18" i="4" s="1"/>
  <c r="B29" i="4"/>
  <c r="D29" i="4" s="1"/>
  <c r="B23" i="4"/>
  <c r="D23" i="4" s="1"/>
  <c r="B6" i="4"/>
  <c r="D6" i="4" s="1"/>
  <c r="B17" i="4"/>
  <c r="D17" i="4" s="1"/>
  <c r="B28" i="4"/>
  <c r="D28" i="4" s="1"/>
  <c r="B38" i="4"/>
  <c r="D38" i="4" s="1"/>
  <c r="B27" i="4"/>
  <c r="D27" i="4" s="1"/>
  <c r="B10" i="4"/>
  <c r="D10" i="4" s="1"/>
  <c r="B21" i="4"/>
  <c r="D21" i="4" s="1"/>
  <c r="B32" i="4"/>
  <c r="D32" i="4" s="1"/>
  <c r="B31" i="4"/>
  <c r="D31" i="4" s="1"/>
  <c r="B9" i="4"/>
  <c r="D9" i="4" s="1"/>
  <c r="B20" i="4"/>
  <c r="D20" i="4" s="1"/>
  <c r="B30" i="4"/>
  <c r="D30" i="4" s="1"/>
  <c r="B19" i="4"/>
  <c r="D19" i="4" s="1"/>
  <c r="B30" i="2"/>
  <c r="D30" i="2" s="1"/>
  <c r="B25" i="2"/>
  <c r="D25" i="2" s="1"/>
  <c r="B12" i="2"/>
  <c r="D12" i="2" s="1"/>
  <c r="B9" i="2"/>
  <c r="D9" i="2" s="1"/>
  <c r="B14" i="2"/>
  <c r="D14" i="2" s="1"/>
  <c r="B28" i="2"/>
  <c r="D28" i="2" s="1"/>
  <c r="B8" i="2"/>
  <c r="D8" i="2" s="1"/>
  <c r="B24" i="2"/>
  <c r="D24" i="2" s="1"/>
  <c r="B37" i="2"/>
  <c r="D37" i="2" s="1"/>
  <c r="B21" i="2"/>
  <c r="D21" i="2" s="1"/>
  <c r="B5" i="2"/>
  <c r="D5" i="2" s="1"/>
  <c r="B26" i="2"/>
  <c r="D26" i="2" s="1"/>
  <c r="B10" i="2"/>
  <c r="D10" i="2" s="1"/>
  <c r="B15" i="2"/>
  <c r="D15" i="2" s="1"/>
  <c r="B31" i="2"/>
  <c r="D31" i="2" s="1"/>
  <c r="B11" i="2"/>
  <c r="D11" i="2" s="1"/>
  <c r="B32" i="2"/>
  <c r="D32" i="2" s="1"/>
  <c r="B33" i="2"/>
  <c r="D33" i="2" s="1"/>
  <c r="B17" i="2"/>
  <c r="D17" i="2" s="1"/>
  <c r="B38" i="2"/>
  <c r="D38" i="2" s="1"/>
  <c r="B22" i="2"/>
  <c r="D22" i="2" s="1"/>
  <c r="B6" i="2"/>
  <c r="D6" i="2" s="1"/>
  <c r="B4" i="2"/>
  <c r="D4" i="2" s="1"/>
  <c r="B20" i="2"/>
  <c r="D20" i="2" s="1"/>
  <c r="B36" i="2"/>
  <c r="D36" i="2" s="1"/>
  <c r="B16" i="2"/>
  <c r="D16" i="2" s="1"/>
  <c r="B35" i="2"/>
  <c r="D35" i="2" s="1"/>
  <c r="B29" i="2"/>
  <c r="D29" i="2" s="1"/>
  <c r="B13" i="2"/>
  <c r="D13" i="2" s="1"/>
  <c r="B34" i="2"/>
  <c r="D34" i="2" s="1"/>
  <c r="B18" i="2"/>
  <c r="D18" i="2" s="1"/>
  <c r="B7" i="2"/>
  <c r="D7" i="2" s="1"/>
  <c r="B23" i="2"/>
  <c r="D23" i="2" s="1"/>
  <c r="B39" i="2"/>
  <c r="D39" i="2" s="1"/>
  <c r="B19" i="2"/>
  <c r="D19" i="2" s="1"/>
  <c r="B27" i="2"/>
  <c r="D27" i="2" s="1"/>
  <c r="B38" i="5"/>
  <c r="D38" i="5" s="1"/>
  <c r="B34" i="5"/>
  <c r="D34" i="5" s="1"/>
  <c r="B30" i="5"/>
  <c r="D30" i="5" s="1"/>
  <c r="B26" i="5"/>
  <c r="D26" i="5" s="1"/>
  <c r="B22" i="5"/>
  <c r="D22" i="5" s="1"/>
  <c r="B18" i="5"/>
  <c r="D18" i="5" s="1"/>
  <c r="B14" i="5"/>
  <c r="D14" i="5" s="1"/>
  <c r="B10" i="5"/>
  <c r="D10" i="5" s="1"/>
  <c r="B6" i="5"/>
  <c r="D6" i="5" s="1"/>
  <c r="B9" i="5"/>
  <c r="D9" i="5" s="1"/>
  <c r="B25" i="5"/>
  <c r="D25" i="5" s="1"/>
  <c r="B40" i="5"/>
  <c r="D40" i="5" s="1"/>
  <c r="B24" i="5"/>
  <c r="D24" i="5" s="1"/>
  <c r="B8" i="5"/>
  <c r="D8" i="5" s="1"/>
  <c r="B31" i="5"/>
  <c r="D31" i="5" s="1"/>
  <c r="B15" i="5"/>
  <c r="D15" i="5" s="1"/>
  <c r="B28" i="5"/>
  <c r="D28" i="5" s="1"/>
  <c r="B19" i="5"/>
  <c r="D19" i="5" s="1"/>
  <c r="B13" i="5"/>
  <c r="D13" i="5" s="1"/>
  <c r="B29" i="5"/>
  <c r="D29" i="5" s="1"/>
  <c r="B36" i="5"/>
  <c r="D36" i="5" s="1"/>
  <c r="B20" i="5"/>
  <c r="D20" i="5" s="1"/>
  <c r="B27" i="5"/>
  <c r="D27" i="5" s="1"/>
  <c r="B11" i="5"/>
  <c r="D11" i="5" s="1"/>
  <c r="B5" i="5"/>
  <c r="D5" i="5" s="1"/>
  <c r="B21" i="5"/>
  <c r="D21" i="5" s="1"/>
  <c r="B37" i="5"/>
  <c r="D37" i="5" s="1"/>
  <c r="B35" i="5"/>
  <c r="D35" i="5" s="1"/>
  <c r="B17" i="5"/>
  <c r="D17" i="5" s="1"/>
  <c r="B33" i="5"/>
  <c r="D33" i="5" s="1"/>
  <c r="B32" i="5"/>
  <c r="D32" i="5" s="1"/>
  <c r="B16" i="5"/>
  <c r="D16" i="5" s="1"/>
  <c r="B39" i="5"/>
  <c r="D39" i="5" s="1"/>
  <c r="B23" i="5"/>
  <c r="D23" i="5" s="1"/>
  <c r="B7" i="5"/>
  <c r="D7" i="5" s="1"/>
  <c r="B12" i="5"/>
  <c r="D12" i="5" s="1"/>
  <c r="B39" i="12"/>
  <c r="D39" i="12" s="1"/>
  <c r="B23" i="12"/>
  <c r="D23" i="12" s="1"/>
  <c r="B7" i="12"/>
  <c r="D7" i="12" s="1"/>
  <c r="B9" i="12"/>
  <c r="D9" i="12" s="1"/>
  <c r="B14" i="12"/>
  <c r="D14" i="12" s="1"/>
  <c r="B20" i="12"/>
  <c r="D20" i="12" s="1"/>
  <c r="B25" i="12"/>
  <c r="D25" i="12" s="1"/>
  <c r="B30" i="12"/>
  <c r="D30" i="12" s="1"/>
  <c r="B36" i="12"/>
  <c r="D36" i="12" s="1"/>
  <c r="B27" i="12"/>
  <c r="D27" i="12" s="1"/>
  <c r="B13" i="12"/>
  <c r="D13" i="12" s="1"/>
  <c r="B29" i="12"/>
  <c r="D29" i="12" s="1"/>
  <c r="B40" i="12"/>
  <c r="D40" i="12" s="1"/>
  <c r="B35" i="12"/>
  <c r="D35" i="12" s="1"/>
  <c r="B19" i="12"/>
  <c r="D19" i="12" s="1"/>
  <c r="B5" i="12"/>
  <c r="D5" i="12" s="1"/>
  <c r="B10" i="12"/>
  <c r="D10" i="12" s="1"/>
  <c r="B16" i="12"/>
  <c r="D16" i="12" s="1"/>
  <c r="B21" i="12"/>
  <c r="D21" i="12" s="1"/>
  <c r="B26" i="12"/>
  <c r="D26" i="12" s="1"/>
  <c r="B32" i="12"/>
  <c r="D32" i="12" s="1"/>
  <c r="B37" i="12"/>
  <c r="D37" i="12" s="1"/>
  <c r="B11" i="12"/>
  <c r="D11" i="12" s="1"/>
  <c r="B18" i="12"/>
  <c r="D18" i="12" s="1"/>
  <c r="B34" i="12"/>
  <c r="D34" i="12" s="1"/>
  <c r="B31" i="12"/>
  <c r="D31" i="12" s="1"/>
  <c r="B15" i="12"/>
  <c r="D15" i="12" s="1"/>
  <c r="B6" i="12"/>
  <c r="D6" i="12" s="1"/>
  <c r="B12" i="12"/>
  <c r="D12" i="12" s="1"/>
  <c r="B17" i="12"/>
  <c r="D17" i="12" s="1"/>
  <c r="B22" i="12"/>
  <c r="D22" i="12" s="1"/>
  <c r="B28" i="12"/>
  <c r="D28" i="12" s="1"/>
  <c r="B33" i="12"/>
  <c r="D33" i="12" s="1"/>
  <c r="B38" i="12"/>
  <c r="D38" i="12" s="1"/>
  <c r="B8" i="12"/>
  <c r="D8" i="12" s="1"/>
  <c r="B24" i="12"/>
  <c r="D24" i="12" s="1"/>
  <c r="F27" i="11"/>
  <c r="G27" i="11" s="1"/>
  <c r="F34" i="11"/>
  <c r="G34" i="11" s="1"/>
  <c r="F14" i="11"/>
  <c r="G14" i="11" s="1"/>
  <c r="F6" i="11"/>
  <c r="G6" i="11" s="1"/>
  <c r="F30" i="11"/>
  <c r="G30" i="11" s="1"/>
  <c r="F18" i="11"/>
  <c r="G18" i="11" s="1"/>
  <c r="F10" i="11"/>
  <c r="G10" i="11" s="1"/>
  <c r="F38" i="11"/>
  <c r="G38" i="11" s="1"/>
  <c r="F23" i="11"/>
  <c r="G23" i="11" s="1"/>
  <c r="F32" i="11"/>
  <c r="G32" i="11" s="1"/>
  <c r="F35" i="11"/>
  <c r="G35" i="11" s="1"/>
  <c r="F25" i="11"/>
  <c r="G25" i="11" s="1"/>
  <c r="F9" i="11"/>
  <c r="G9" i="11" s="1"/>
  <c r="F8" i="11"/>
  <c r="G8" i="11" s="1"/>
  <c r="F16" i="11"/>
  <c r="G16" i="11" s="1"/>
  <c r="F33" i="11"/>
  <c r="G33" i="11" s="1"/>
  <c r="F22" i="11"/>
  <c r="G22" i="11" s="1"/>
  <c r="F15" i="11"/>
  <c r="G15" i="11" s="1"/>
  <c r="F24" i="11"/>
  <c r="G24" i="11" s="1"/>
  <c r="F28" i="11"/>
  <c r="G28" i="11" s="1"/>
  <c r="F31" i="11"/>
  <c r="G31" i="11" s="1"/>
  <c r="F21" i="11"/>
  <c r="G21" i="11" s="1"/>
  <c r="F5" i="11"/>
  <c r="G5" i="11" s="1"/>
  <c r="F11" i="11"/>
  <c r="G11" i="11" s="1"/>
  <c r="F19" i="11"/>
  <c r="G19" i="11" s="1"/>
  <c r="F37" i="11"/>
  <c r="G37" i="11" s="1"/>
  <c r="F36" i="11"/>
  <c r="G36" i="11" s="1"/>
  <c r="F13" i="11"/>
  <c r="G13" i="11" s="1"/>
  <c r="F29" i="11"/>
  <c r="G29" i="11" s="1"/>
  <c r="F40" i="11"/>
  <c r="G40" i="11" s="1"/>
  <c r="F26" i="11"/>
  <c r="G26" i="11" s="1"/>
  <c r="F17" i="11"/>
  <c r="G17" i="11" s="1"/>
  <c r="F12" i="11"/>
  <c r="G12" i="11" s="1"/>
  <c r="F20" i="11"/>
  <c r="G20" i="11" s="1"/>
  <c r="F39" i="11"/>
  <c r="G39" i="11" s="1"/>
  <c r="F7" i="11"/>
  <c r="G7" i="11" s="1"/>
  <c r="F4" i="13"/>
  <c r="G4" i="13" s="1"/>
  <c r="C3" i="3"/>
  <c r="F31" i="7"/>
  <c r="G31" i="7" s="1"/>
  <c r="F20" i="7"/>
  <c r="G20" i="7" s="1"/>
  <c r="F39" i="7"/>
  <c r="G39" i="7" s="1"/>
  <c r="F16" i="7"/>
  <c r="G16" i="7" s="1"/>
  <c r="F15" i="7"/>
  <c r="G15" i="7" s="1"/>
  <c r="F28" i="7"/>
  <c r="G28" i="7" s="1"/>
  <c r="F12" i="7"/>
  <c r="G12" i="7" s="1"/>
  <c r="B4" i="13"/>
  <c r="B3" i="3"/>
  <c r="D39" i="7"/>
  <c r="D23" i="7"/>
  <c r="D21" i="7"/>
  <c r="D38" i="7"/>
  <c r="D29" i="7"/>
  <c r="D22" i="7"/>
  <c r="D19" i="7"/>
  <c r="D10" i="7"/>
  <c r="D13" i="7"/>
  <c r="D6" i="7"/>
  <c r="D27" i="7"/>
  <c r="D11" i="7"/>
  <c r="B26" i="11"/>
  <c r="D26" i="11" s="1"/>
  <c r="B23" i="11"/>
  <c r="D23" i="11" s="1"/>
  <c r="B18" i="11"/>
  <c r="D18" i="11" s="1"/>
  <c r="B10" i="11"/>
  <c r="D10" i="11" s="1"/>
  <c r="B21" i="11"/>
  <c r="D21" i="11" s="1"/>
  <c r="B19" i="11"/>
  <c r="D19" i="11" s="1"/>
  <c r="B13" i="11"/>
  <c r="D13" i="11" s="1"/>
  <c r="B11" i="11"/>
  <c r="D11" i="11" s="1"/>
  <c r="B5" i="11"/>
  <c r="D5" i="11" s="1"/>
  <c r="B27" i="11"/>
  <c r="D27" i="11" s="1"/>
  <c r="B22" i="11"/>
  <c r="D22" i="11" s="1"/>
  <c r="B14" i="11"/>
  <c r="D14" i="11" s="1"/>
  <c r="B6" i="11"/>
  <c r="D6" i="11" s="1"/>
  <c r="B17" i="11"/>
  <c r="D17" i="11" s="1"/>
  <c r="B9" i="11"/>
  <c r="D9" i="11" s="1"/>
  <c r="B7" i="11"/>
  <c r="D7" i="11" s="1"/>
  <c r="B15" i="11"/>
  <c r="D15" i="11" s="1"/>
  <c r="F40" i="12"/>
  <c r="G40" i="12" s="1"/>
  <c r="F39" i="12"/>
  <c r="G39" i="12" s="1"/>
  <c r="F35" i="12"/>
  <c r="G35" i="12" s="1"/>
  <c r="F31" i="12"/>
  <c r="G31" i="12" s="1"/>
  <c r="F27" i="12"/>
  <c r="G27" i="12" s="1"/>
  <c r="F23" i="12"/>
  <c r="G23" i="12" s="1"/>
  <c r="F19" i="12"/>
  <c r="G19" i="12" s="1"/>
  <c r="F15" i="12"/>
  <c r="G15" i="12" s="1"/>
  <c r="F11" i="12"/>
  <c r="G11" i="12" s="1"/>
  <c r="F7" i="12"/>
  <c r="G7" i="12" s="1"/>
  <c r="F37" i="12"/>
  <c r="G37" i="12" s="1"/>
  <c r="F33" i="12"/>
  <c r="G33" i="12" s="1"/>
  <c r="F29" i="12"/>
  <c r="G29" i="12" s="1"/>
  <c r="F25" i="12"/>
  <c r="G25" i="12" s="1"/>
  <c r="F21" i="12"/>
  <c r="G21" i="12" s="1"/>
  <c r="F17" i="12"/>
  <c r="G17" i="12" s="1"/>
  <c r="F13" i="12"/>
  <c r="G13" i="12" s="1"/>
  <c r="F9" i="12"/>
  <c r="G9" i="12" s="1"/>
  <c r="F5" i="12"/>
  <c r="G5" i="12" s="1"/>
  <c r="F30" i="12"/>
  <c r="G30" i="12" s="1"/>
  <c r="F14" i="12"/>
  <c r="G14" i="12" s="1"/>
  <c r="F18" i="12"/>
  <c r="G18" i="12" s="1"/>
  <c r="F26" i="12"/>
  <c r="G26" i="12" s="1"/>
  <c r="F10" i="12"/>
  <c r="G10" i="12" s="1"/>
  <c r="F38" i="12"/>
  <c r="G38" i="12" s="1"/>
  <c r="F22" i="12"/>
  <c r="G22" i="12" s="1"/>
  <c r="F6" i="12"/>
  <c r="G6" i="12" s="1"/>
  <c r="F34" i="12"/>
  <c r="G34" i="12" s="1"/>
  <c r="F7" i="7" l="1"/>
  <c r="G7" i="7" s="1"/>
  <c r="F11" i="7"/>
  <c r="G11" i="7" s="1"/>
  <c r="F36" i="7"/>
  <c r="G36" i="7" s="1"/>
  <c r="F5" i="7"/>
  <c r="G5" i="7" s="1"/>
  <c r="F35" i="7"/>
  <c r="G35" i="7" s="1"/>
  <c r="F32" i="7"/>
  <c r="G32" i="7" s="1"/>
  <c r="F24" i="7"/>
  <c r="G24" i="7" s="1"/>
  <c r="F25" i="7"/>
  <c r="G25" i="7" s="1"/>
  <c r="F30" i="7"/>
  <c r="G30" i="7" s="1"/>
  <c r="F19" i="7"/>
  <c r="G19" i="7" s="1"/>
  <c r="F8" i="7"/>
  <c r="G8" i="7" s="1"/>
  <c r="F23" i="7"/>
  <c r="G23" i="7" s="1"/>
  <c r="F27" i="7"/>
  <c r="G27" i="7" s="1"/>
  <c r="F40" i="7"/>
  <c r="G40" i="7" s="1"/>
  <c r="G4" i="7"/>
  <c r="F29" i="7"/>
  <c r="G29" i="7" s="1"/>
  <c r="F6" i="7"/>
  <c r="G6" i="7" s="1"/>
  <c r="F26" i="7"/>
  <c r="G26" i="7" s="1"/>
  <c r="F33" i="7"/>
  <c r="G33" i="7" s="1"/>
  <c r="F22" i="7"/>
  <c r="G22" i="7" s="1"/>
  <c r="F21" i="7"/>
  <c r="G21" i="7" s="1"/>
  <c r="F10" i="7"/>
  <c r="G10" i="7" s="1"/>
  <c r="F34" i="7"/>
  <c r="G34" i="7" s="1"/>
  <c r="F37" i="7"/>
  <c r="G37" i="7" s="1"/>
  <c r="F17" i="7"/>
  <c r="G17" i="7" s="1"/>
  <c r="F18" i="7"/>
  <c r="G18" i="7" s="1"/>
  <c r="F38" i="7"/>
  <c r="G38" i="7" s="1"/>
  <c r="F13" i="7"/>
  <c r="G13" i="7" s="1"/>
  <c r="F9" i="7"/>
  <c r="G9" i="7" s="1"/>
  <c r="B25" i="13"/>
  <c r="D25" i="13" s="1"/>
  <c r="B9" i="13"/>
  <c r="D9" i="13" s="1"/>
  <c r="B8" i="13"/>
  <c r="D8" i="13" s="1"/>
  <c r="B24" i="13"/>
  <c r="D24" i="13" s="1"/>
  <c r="B40" i="13"/>
  <c r="D40" i="13" s="1"/>
  <c r="B23" i="13"/>
  <c r="D23" i="13" s="1"/>
  <c r="B39" i="13"/>
  <c r="D39" i="13" s="1"/>
  <c r="B18" i="13"/>
  <c r="D18" i="13" s="1"/>
  <c r="B34" i="13"/>
  <c r="D34" i="13" s="1"/>
  <c r="B29" i="13"/>
  <c r="D29" i="13" s="1"/>
  <c r="B6" i="13"/>
  <c r="D6" i="13" s="1"/>
  <c r="B36" i="13"/>
  <c r="D36" i="13" s="1"/>
  <c r="B14" i="13"/>
  <c r="D14" i="13" s="1"/>
  <c r="B37" i="13"/>
  <c r="D37" i="13" s="1"/>
  <c r="B21" i="13"/>
  <c r="D21" i="13" s="1"/>
  <c r="B7" i="13"/>
  <c r="D7" i="13" s="1"/>
  <c r="B12" i="13"/>
  <c r="D12" i="13" s="1"/>
  <c r="B28" i="13"/>
  <c r="D28" i="13" s="1"/>
  <c r="B11" i="13"/>
  <c r="D11" i="13" s="1"/>
  <c r="B27" i="13"/>
  <c r="D27" i="13" s="1"/>
  <c r="B22" i="13"/>
  <c r="D22" i="13" s="1"/>
  <c r="B38" i="13"/>
  <c r="D38" i="13" s="1"/>
  <c r="B13" i="13"/>
  <c r="D13" i="13" s="1"/>
  <c r="B20" i="13"/>
  <c r="D20" i="13" s="1"/>
  <c r="B19" i="13"/>
  <c r="D19" i="13" s="1"/>
  <c r="B30" i="13"/>
  <c r="D30" i="13" s="1"/>
  <c r="B33" i="13"/>
  <c r="D33" i="13" s="1"/>
  <c r="B17" i="13"/>
  <c r="D17" i="13" s="1"/>
  <c r="B5" i="13"/>
  <c r="D5" i="13" s="1"/>
  <c r="B16" i="13"/>
  <c r="D16" i="13" s="1"/>
  <c r="B32" i="13"/>
  <c r="D32" i="13" s="1"/>
  <c r="B15" i="13"/>
  <c r="D15" i="13" s="1"/>
  <c r="B31" i="13"/>
  <c r="D31" i="13" s="1"/>
  <c r="B10" i="13"/>
  <c r="D10" i="13" s="1"/>
  <c r="B26" i="13"/>
  <c r="D26" i="13" s="1"/>
  <c r="B35" i="13"/>
  <c r="D35" i="13" s="1"/>
  <c r="F39" i="13"/>
  <c r="G39" i="13" s="1"/>
  <c r="F23" i="13"/>
  <c r="G23" i="13" s="1"/>
  <c r="F7" i="13"/>
  <c r="G7" i="13" s="1"/>
  <c r="F35" i="13"/>
  <c r="G35" i="13" s="1"/>
  <c r="F19" i="13"/>
  <c r="G19" i="13" s="1"/>
  <c r="F5" i="13"/>
  <c r="G5" i="13" s="1"/>
  <c r="F31" i="13"/>
  <c r="G31" i="13" s="1"/>
  <c r="F15" i="13"/>
  <c r="G15" i="13" s="1"/>
  <c r="F6" i="13"/>
  <c r="G6" i="13" s="1"/>
  <c r="F27" i="13"/>
  <c r="G27" i="13" s="1"/>
  <c r="F11" i="13"/>
  <c r="G11" i="13" s="1"/>
  <c r="F26" i="13"/>
  <c r="G26" i="13" s="1"/>
  <c r="F10" i="13"/>
  <c r="G10" i="13" s="1"/>
  <c r="F13" i="13"/>
  <c r="G13" i="13" s="1"/>
  <c r="F21" i="13"/>
  <c r="G21" i="13" s="1"/>
  <c r="F29" i="13"/>
  <c r="G29" i="13" s="1"/>
  <c r="F37" i="13"/>
  <c r="G37" i="13" s="1"/>
  <c r="F20" i="13"/>
  <c r="G20" i="13" s="1"/>
  <c r="F38" i="13"/>
  <c r="G38" i="13" s="1"/>
  <c r="F22" i="13"/>
  <c r="G22" i="13" s="1"/>
  <c r="F8" i="13"/>
  <c r="G8" i="13" s="1"/>
  <c r="F16" i="13"/>
  <c r="G16" i="13" s="1"/>
  <c r="F24" i="13"/>
  <c r="G24" i="13" s="1"/>
  <c r="F32" i="13"/>
  <c r="G32" i="13" s="1"/>
  <c r="F40" i="13"/>
  <c r="G40" i="13" s="1"/>
  <c r="F12" i="13"/>
  <c r="G12" i="13" s="1"/>
  <c r="F36" i="13"/>
  <c r="G36" i="13" s="1"/>
  <c r="F34" i="13"/>
  <c r="G34" i="13" s="1"/>
  <c r="F18" i="13"/>
  <c r="G18" i="13" s="1"/>
  <c r="F9" i="13"/>
  <c r="G9" i="13" s="1"/>
  <c r="F17" i="13"/>
  <c r="G17" i="13" s="1"/>
  <c r="F25" i="13"/>
  <c r="G25" i="13" s="1"/>
  <c r="F33" i="13"/>
  <c r="G33" i="13" s="1"/>
  <c r="F30" i="13"/>
  <c r="G30" i="13" s="1"/>
  <c r="F28" i="13"/>
  <c r="G28" i="13" s="1"/>
  <c r="F14" i="13"/>
  <c r="G14" i="13" s="1"/>
  <c r="I20" i="14"/>
  <c r="I24" i="14" s="1"/>
</calcChain>
</file>

<file path=xl/sharedStrings.xml><?xml version="1.0" encoding="utf-8"?>
<sst xmlns="http://schemas.openxmlformats.org/spreadsheetml/2006/main" count="382" uniqueCount="108">
  <si>
    <t>SALARIOS BRUTOS</t>
  </si>
  <si>
    <t>SUELDO</t>
  </si>
  <si>
    <t>P.P. EXTRAS</t>
  </si>
  <si>
    <t>INDEMNIZACION</t>
  </si>
  <si>
    <t>C. DESTINO (18)</t>
  </si>
  <si>
    <t>C. ESPECIFICO (28)</t>
  </si>
  <si>
    <t>C. DESTINO (14)</t>
  </si>
  <si>
    <t>C. ESPECIFICO (24)</t>
  </si>
  <si>
    <t>INDENIZACION</t>
  </si>
  <si>
    <t>€/MES (MÍNIMOS)</t>
  </si>
  <si>
    <t>€/MES (MAXIMOS)</t>
  </si>
  <si>
    <t>€/MES (MÁXIMOS)</t>
  </si>
  <si>
    <t>€/MES (MINIMOS)</t>
  </si>
  <si>
    <t>SUELDO (B)</t>
  </si>
  <si>
    <t>BASE MINIMA/HORA Tº PARCIAL GRUPO 1</t>
  </si>
  <si>
    <t>BASE MINIMA G1</t>
  </si>
  <si>
    <t>BASE MINIMA/HORA Tº PARCIAL GRUPO 2</t>
  </si>
  <si>
    <t>BASE MINIMA/HORA Tº PARCIAL GRUPO 4-11</t>
  </si>
  <si>
    <t>12 DIAS</t>
  </si>
  <si>
    <t>Retribución/año (*1)</t>
  </si>
  <si>
    <t>mínimas</t>
  </si>
  <si>
    <t>máximas</t>
  </si>
  <si>
    <t>PERSONAL INVESTIGADOR</t>
  </si>
  <si>
    <t>Investigador en Formación</t>
  </si>
  <si>
    <t>PERSONAL COLABORADOR EN TAREAS DE INVESTIGACIÓN</t>
  </si>
  <si>
    <t>Titulados superiores I</t>
  </si>
  <si>
    <t>Titulados superiores II</t>
  </si>
  <si>
    <t>Titulados de grado medio</t>
  </si>
  <si>
    <t>Especialistas Técnicos (*2)</t>
  </si>
  <si>
    <t>Auxiliares (*2)</t>
  </si>
  <si>
    <t>TOTAL</t>
  </si>
  <si>
    <t>INVESTIGADOR EN FORMACIÓN</t>
  </si>
  <si>
    <t>INVESTIGADOR JUNIOR</t>
  </si>
  <si>
    <t>INVESTIGADOR SENIOR</t>
  </si>
  <si>
    <t>BASE MINIMA/HORA Tº PARCIAL GRUPO 5</t>
  </si>
  <si>
    <t>AUXILIAR</t>
  </si>
  <si>
    <t>TOTAL…………………</t>
  </si>
  <si>
    <t>TOTAL…………….</t>
  </si>
  <si>
    <t>ESPECIALISTA TECNICO</t>
  </si>
  <si>
    <t>TITULADO SUPERIOR I</t>
  </si>
  <si>
    <t>TITULADO SUPERIOR II</t>
  </si>
  <si>
    <t>TITULADO DE GRADO MEDIO</t>
  </si>
  <si>
    <t>Complemento Compensatorio CD</t>
  </si>
  <si>
    <t>Investigador Senior</t>
  </si>
  <si>
    <t>Investigador Junior</t>
  </si>
  <si>
    <t>DEDICACION HORAS  SEMANALES</t>
  </si>
  <si>
    <t xml:space="preserve">RETRIBUCION MENSUAL BRUTA </t>
  </si>
  <si>
    <t>RETRIBUCIONES MINIMAS</t>
  </si>
  <si>
    <t>RETRIBUCIONES MAXIMAS</t>
  </si>
  <si>
    <t>CUOTA  SEG.SOCIAL 32,60%</t>
  </si>
  <si>
    <t>CUOTA SEG.SOCIAL 32,60%</t>
  </si>
  <si>
    <t>TABLAS 2019 CON INCREMENTO 2,25%</t>
  </si>
  <si>
    <t>Grupo de Cotización</t>
  </si>
  <si>
    <t>CONTINGENCIAS COMUNES</t>
  </si>
  <si>
    <t>BASE MINIMA HORA</t>
  </si>
  <si>
    <t>TOPE MÍNIMO</t>
  </si>
  <si>
    <t>TOPE MÁXIMO</t>
  </si>
  <si>
    <t>CONTINGENCIAS PROFESIONALES</t>
  </si>
  <si>
    <t>Base Cotización</t>
  </si>
  <si>
    <t>Tipos cotización %</t>
  </si>
  <si>
    <t>Cuota Patronal</t>
  </si>
  <si>
    <t>Contingencias Comunes</t>
  </si>
  <si>
    <t>Contingencias Profesionales</t>
  </si>
  <si>
    <t>Bases mínimas euros/mes</t>
  </si>
  <si>
    <t>Bases máximas euros/mes</t>
  </si>
  <si>
    <t>CALCULADORA COSTE SEG.SOCIAL TIEMPO COMPLETO</t>
  </si>
  <si>
    <t>TOTAL COSTE SEGURIDAD SOCIAL</t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</si>
  <si>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DEDICACION de HORAS semanales…………………………….……………………………….</t>
    </r>
  </si>
  <si>
    <t>CALCULADORA COSTE SEG.SOCIAL TIEMPO PARCIAL</t>
  </si>
  <si>
    <t>TOTAL COSTE SEGURIDAD SOCIAL……..</t>
  </si>
  <si>
    <t>CALCULO RC</t>
  </si>
  <si>
    <r>
      <rPr>
        <b/>
        <sz val="10"/>
        <rFont val="Verdana"/>
        <family val="2"/>
      </rPr>
      <t>(*) NOTA:</t>
    </r>
    <r>
      <rPr>
        <sz val="10"/>
        <rFont val="Verdana"/>
        <family val="2"/>
      </rPr>
      <t xml:space="preserve"> Para calcular el coste total del contrato/renovación para el periodo, utilice la siguiente plantilla………………………………………………………</t>
    </r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</si>
  <si>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RETRIBUCION MENSUAL PROPUESTA ……….……………….……………………………….</t>
    </r>
  </si>
  <si>
    <t>Base mín.Cotiz.</t>
  </si>
  <si>
    <t>Tipo cotización %</t>
  </si>
  <si>
    <t>1º año, no inferior a</t>
  </si>
  <si>
    <t>2º año, no inferior a</t>
  </si>
  <si>
    <t>3º año, no inferior a</t>
  </si>
  <si>
    <t>4º año, no inferior a</t>
  </si>
  <si>
    <t xml:space="preserve">RETRIBUCION BRUTA ANUAL  </t>
  </si>
  <si>
    <t>Prorrateo de la cuantía, para percibir identica cuantia anual</t>
  </si>
  <si>
    <r>
      <t>(</t>
    </r>
    <r>
      <rPr>
        <b/>
        <sz val="9"/>
        <rFont val="Verdana"/>
        <family val="2"/>
      </rPr>
      <t xml:space="preserve">*) NOTA: </t>
    </r>
    <r>
      <rPr>
        <sz val="9"/>
        <rFont val="Verdana"/>
        <family val="2"/>
      </rPr>
      <t xml:space="preserve">Cuando la dedicación es a </t>
    </r>
    <r>
      <rPr>
        <b/>
        <sz val="9"/>
        <rFont val="Verdana"/>
        <family val="2"/>
      </rPr>
      <t>TIEMPO PARCIAL</t>
    </r>
    <r>
      <rPr>
        <sz val="9"/>
        <rFont val="Verdana"/>
        <family val="2"/>
      </rPr>
      <t xml:space="preserve">, para retribuciones distintas a las establecidas en tablas, según bases de la convocatoria, usar la siguiente calculadora para determinar el coste de Seguridad Social </t>
    </r>
  </si>
  <si>
    <r>
      <t>(</t>
    </r>
    <r>
      <rPr>
        <b/>
        <sz val="9"/>
        <rFont val="Verdana"/>
        <family val="2"/>
      </rPr>
      <t xml:space="preserve">*) NOTA: </t>
    </r>
    <r>
      <rPr>
        <sz val="9"/>
        <rFont val="Verdana"/>
        <family val="2"/>
      </rPr>
      <t xml:space="preserve">Cuando la dedicación es a </t>
    </r>
    <r>
      <rPr>
        <b/>
        <sz val="9"/>
        <rFont val="Verdana"/>
        <family val="2"/>
      </rPr>
      <t>TIEMPO PARCIAL</t>
    </r>
    <r>
      <rPr>
        <sz val="9"/>
        <rFont val="Verdana"/>
        <family val="2"/>
      </rPr>
      <t xml:space="preserve">, para retribuciones comprendidas </t>
    </r>
    <r>
      <rPr>
        <b/>
        <sz val="9"/>
        <rFont val="Verdana"/>
        <family val="2"/>
      </rPr>
      <t>en el rango del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intervalo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establecido</t>
    </r>
    <r>
      <rPr>
        <sz val="9"/>
        <rFont val="Verdana"/>
        <family val="2"/>
      </rPr>
      <t xml:space="preserve">, usar la siguiente calculadora para determinar el coste de Seguridad Social </t>
    </r>
  </si>
  <si>
    <r>
      <t>(</t>
    </r>
    <r>
      <rPr>
        <b/>
        <sz val="9"/>
        <rFont val="Verdana"/>
        <family val="2"/>
      </rPr>
      <t xml:space="preserve">*) NOTA: </t>
    </r>
    <r>
      <rPr>
        <sz val="9"/>
        <rFont val="Verdana"/>
        <family val="2"/>
      </rPr>
      <t xml:space="preserve">Cuando la dedicación es a </t>
    </r>
    <r>
      <rPr>
        <b/>
        <sz val="9"/>
        <rFont val="Verdana"/>
        <family val="2"/>
      </rPr>
      <t>TIEMPO PARCIAL</t>
    </r>
    <r>
      <rPr>
        <sz val="9"/>
        <rFont val="Verdana"/>
        <family val="2"/>
      </rPr>
      <t>, para retribuciones comprendidas en el</t>
    </r>
    <r>
      <rPr>
        <b/>
        <sz val="9"/>
        <rFont val="Verdana"/>
        <family val="2"/>
      </rPr>
      <t xml:space="preserve"> rango del intervalo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establecido</t>
    </r>
    <r>
      <rPr>
        <sz val="9"/>
        <rFont val="Verdana"/>
        <family val="2"/>
      </rPr>
      <t xml:space="preserve">, usar la siguiente calculadora para determinar el coste de Seguridad Social </t>
    </r>
  </si>
  <si>
    <t>RETRIBUCION BRUTA MENSUAL (12 pagas)</t>
  </si>
  <si>
    <t>RETRIBUCION MÍNIMA A PERCIBIR (TIEMPO COMPLETO)</t>
  </si>
  <si>
    <t>CONTRATO PREDOCTORAL</t>
  </si>
  <si>
    <t>Grupo de Cotización 1</t>
  </si>
  <si>
    <t>Base mínima/hora</t>
  </si>
  <si>
    <t>TOTAL COSTE SEGURIDAD SOCIAL……………..</t>
  </si>
  <si>
    <t>RETRIBUCION BRUTA MENSUAL (14 pagas)</t>
  </si>
  <si>
    <t>TOTAL COSTE SEGURIDAD SOCIAL……………………</t>
  </si>
  <si>
    <r>
      <t xml:space="preserve">CALCULADORA COSTE SEG.SOCIAL CONTRATO </t>
    </r>
    <r>
      <rPr>
        <b/>
        <sz val="11"/>
        <color rgb="FFFF0000"/>
        <rFont val="Verdana"/>
        <family val="2"/>
      </rPr>
      <t>PREDOCTORAL</t>
    </r>
  </si>
  <si>
    <r>
      <t xml:space="preserve">CALCULADORA COSTE SEG.SOCIAL CONTRATO                                                               </t>
    </r>
    <r>
      <rPr>
        <b/>
        <sz val="11"/>
        <color rgb="FFFF0000"/>
        <rFont val="Verdana"/>
        <family val="2"/>
      </rPr>
      <t xml:space="preserve"> EN PRÁCTICAS/ACCESO CIENCIA</t>
    </r>
  </si>
  <si>
    <t xml:space="preserve">TABLAS RETRIBUTIVAS DEL PERSONAL INVESTIGADOR AÑO 2021                                                                                                            </t>
  </si>
  <si>
    <t xml:space="preserve">TABLAS RETRIBUTIVAS DEL PERSONAL INVESTIGADOR AÑO 2021                                                                                                           </t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</si>
  <si>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RETRIBUCION MENSUAL BRUTA PROPUESTA 40 h:</t>
    </r>
  </si>
  <si>
    <t xml:space="preserve">TABLAS RETRIBUTIVAS DEL PERSONAL INVESTIGADOR EN FORMACIÓN            AÑO  2021                                                                                                         </t>
  </si>
  <si>
    <t xml:space="preserve">TABLAS RETRIBUTIVAS DEL PERSONAL INVESTIGADOR AÑO 2021                                                                                                      </t>
  </si>
  <si>
    <t xml:space="preserve">TABLAS RETRIBUTIVAS DEL PERSONAL INVESTIGADOR AÑO 2021                                                                                                          </t>
  </si>
  <si>
    <t>TABLAS RETRIBUTIVAS DEL PERSONAL INVESTIGADOR AÑO 2021</t>
  </si>
  <si>
    <t xml:space="preserve">TABLAS RETRIBUTIVAS DEL PERSONAL INVESTIGADOR AÑO 2021                                                                                                         </t>
  </si>
  <si>
    <t>TABLAS 2021 CON INCREMENTO 2,09%</t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</si>
  <si>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RETRIBUCION MENSUAL BRUTA PROPUESTA </t>
    </r>
    <r>
      <rPr>
        <sz val="9"/>
        <color rgb="FF0033CC"/>
        <rFont val="Verdana"/>
        <family val="2"/>
      </rPr>
      <t xml:space="preserve">para </t>
    </r>
    <r>
      <rPr>
        <b/>
        <sz val="9"/>
        <color rgb="FF0033CC"/>
        <rFont val="Verdana"/>
        <family val="2"/>
      </rPr>
      <t>37,5</t>
    </r>
    <r>
      <rPr>
        <sz val="9"/>
        <color rgb="FF0033CC"/>
        <rFont val="Verdana"/>
        <family val="2"/>
      </rPr>
      <t xml:space="preserve"> </t>
    </r>
    <r>
      <rPr>
        <b/>
        <sz val="9"/>
        <color rgb="FF0033CC"/>
        <rFont val="Verdana"/>
        <family val="2"/>
      </rPr>
      <t>h/semana ………………………………</t>
    </r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</si>
  <si>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RETRIBUCION MENSUAL BRUTA PROPUESTA </t>
    </r>
    <r>
      <rPr>
        <sz val="9"/>
        <color rgb="FF0033CC"/>
        <rFont val="Verdana"/>
        <family val="2"/>
      </rPr>
      <t xml:space="preserve">para </t>
    </r>
    <r>
      <rPr>
        <b/>
        <sz val="9"/>
        <color rgb="FF0033CC"/>
        <rFont val="Verdana"/>
        <family val="2"/>
      </rPr>
      <t>37,5 h/semana ………………………………</t>
    </r>
  </si>
  <si>
    <t>BASE MINIMA G2</t>
  </si>
  <si>
    <t>BASE MINIMA G5</t>
  </si>
  <si>
    <t>BASE MINIMA G7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</si>
</sst>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u/>
      <sz val="10"/>
      <name val="Verdana"/>
      <family val="2"/>
    </font>
    <font>
      <sz val="10"/>
      <name val="Verdana"/>
      <family val="2"/>
    </font>
    <font>
      <b/>
      <sz val="11"/>
      <color rgb="FF000000"/>
      <name val="Verdana"/>
      <family val="2"/>
    </font>
    <font>
      <b/>
      <sz val="10"/>
      <name val="Verdana"/>
      <family val="2"/>
    </font>
    <font>
      <sz val="10"/>
      <color indexed="10"/>
      <name val="Verdana"/>
      <family val="2"/>
    </font>
    <font>
      <b/>
      <u/>
      <sz val="10"/>
      <name val="Verdana"/>
      <family val="2"/>
    </font>
    <font>
      <sz val="11"/>
      <color rgb="FF000000"/>
      <name val="Verdana"/>
      <family val="2"/>
    </font>
    <font>
      <sz val="11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8"/>
      <color rgb="FF000000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sz val="10"/>
      <name val="Arial"/>
    </font>
    <font>
      <sz val="9"/>
      <name val="Verdana"/>
      <family val="2"/>
    </font>
    <font>
      <b/>
      <sz val="9"/>
      <name val="Verdana"/>
      <family val="2"/>
    </font>
    <font>
      <b/>
      <i/>
      <sz val="9"/>
      <name val="Verdana"/>
      <family val="2"/>
    </font>
    <font>
      <b/>
      <sz val="9"/>
      <color rgb="FF0000CC"/>
      <name val="Verdana"/>
      <family val="2"/>
    </font>
    <font>
      <b/>
      <sz val="9"/>
      <color rgb="FF0033CC"/>
      <name val="Verdana"/>
      <family val="2"/>
    </font>
    <font>
      <sz val="9"/>
      <color rgb="FF0033CC"/>
      <name val="Verdana"/>
      <family val="2"/>
    </font>
    <font>
      <sz val="10"/>
      <color rgb="FF0033CC"/>
      <name val="Verdana"/>
      <family val="2"/>
    </font>
    <font>
      <i/>
      <sz val="10"/>
      <name val="Verdana"/>
      <family val="2"/>
    </font>
    <font>
      <b/>
      <sz val="10"/>
      <color rgb="FF0033CC"/>
      <name val="Verdana"/>
      <family val="2"/>
    </font>
    <font>
      <u/>
      <sz val="10"/>
      <color theme="10"/>
      <name val="Arial"/>
      <family val="2"/>
    </font>
    <font>
      <b/>
      <i/>
      <sz val="9"/>
      <color theme="0" tint="-0.34998626667073579"/>
      <name val="Verdana"/>
      <family val="2"/>
    </font>
    <font>
      <i/>
      <sz val="10"/>
      <color theme="0" tint="-0.34998626667073579"/>
      <name val="Verdana"/>
      <family val="2"/>
    </font>
    <font>
      <b/>
      <sz val="11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ash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ashed">
        <color theme="0" tint="-0.2499465926084170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ashed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/>
      <right style="medium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dashed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dashed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medium">
        <color indexed="64"/>
      </bottom>
      <diagonal/>
    </border>
    <border>
      <left/>
      <right/>
      <top style="dashed">
        <color theme="0" tint="-0.24994659260841701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33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2" fontId="4" fillId="0" borderId="0" xfId="0" applyNumberFormat="1" applyFont="1"/>
    <xf numFmtId="0" fontId="7" fillId="0" borderId="0" xfId="0" applyFont="1"/>
    <xf numFmtId="0" fontId="6" fillId="0" borderId="0" xfId="0" applyFont="1"/>
    <xf numFmtId="0" fontId="8" fillId="0" borderId="0" xfId="0" applyFont="1" applyBorder="1" applyAlignment="1">
      <alignment vertical="center"/>
    </xf>
    <xf numFmtId="0" fontId="7" fillId="0" borderId="13" xfId="0" applyFont="1" applyFill="1" applyBorder="1"/>
    <xf numFmtId="0" fontId="11" fillId="0" borderId="0" xfId="0" applyFont="1"/>
    <xf numFmtId="0" fontId="11" fillId="0" borderId="0" xfId="0" applyFont="1" applyAlignment="1">
      <alignment horizontal="right"/>
    </xf>
    <xf numFmtId="4" fontId="7" fillId="0" borderId="0" xfId="0" applyNumberFormat="1" applyFont="1"/>
    <xf numFmtId="0" fontId="9" fillId="0" borderId="18" xfId="0" applyFont="1" applyFill="1" applyBorder="1"/>
    <xf numFmtId="0" fontId="9" fillId="0" borderId="0" xfId="0" applyFont="1" applyFill="1" applyBorder="1"/>
    <xf numFmtId="0" fontId="7" fillId="0" borderId="0" xfId="0" applyFont="1" applyBorder="1"/>
    <xf numFmtId="2" fontId="9" fillId="0" borderId="0" xfId="0" applyNumberFormat="1" applyFont="1"/>
    <xf numFmtId="2" fontId="7" fillId="0" borderId="0" xfId="0" applyNumberFormat="1" applyFont="1"/>
    <xf numFmtId="2" fontId="7" fillId="0" borderId="0" xfId="0" applyNumberFormat="1" applyFont="1" applyBorder="1"/>
    <xf numFmtId="0" fontId="7" fillId="0" borderId="0" xfId="0" applyFont="1" applyAlignment="1">
      <alignment vertical="center"/>
    </xf>
    <xf numFmtId="0" fontId="7" fillId="0" borderId="18" xfId="0" applyFont="1" applyFill="1" applyBorder="1"/>
    <xf numFmtId="0" fontId="7" fillId="0" borderId="21" xfId="0" applyFont="1" applyFill="1" applyBorder="1"/>
    <xf numFmtId="0" fontId="7" fillId="0" borderId="19" xfId="0" applyFont="1" applyBorder="1"/>
    <xf numFmtId="0" fontId="7" fillId="0" borderId="20" xfId="0" applyFont="1" applyBorder="1"/>
    <xf numFmtId="0" fontId="16" fillId="2" borderId="4" xfId="0" applyFont="1" applyFill="1" applyBorder="1" applyAlignment="1">
      <alignment vertical="center"/>
    </xf>
    <xf numFmtId="0" fontId="9" fillId="0" borderId="0" xfId="0" applyFont="1"/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/>
    <xf numFmtId="0" fontId="7" fillId="0" borderId="0" xfId="0" applyFont="1" applyAlignment="1">
      <alignment horizontal="center" wrapText="1"/>
    </xf>
    <xf numFmtId="0" fontId="13" fillId="0" borderId="0" xfId="0" applyFont="1" applyAlignment="1">
      <alignment vertical="center"/>
    </xf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shrinkToFit="1"/>
    </xf>
    <xf numFmtId="0" fontId="13" fillId="0" borderId="9" xfId="0" applyFont="1" applyBorder="1" applyAlignment="1">
      <alignment vertical="center"/>
    </xf>
    <xf numFmtId="0" fontId="9" fillId="3" borderId="2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2" fontId="7" fillId="0" borderId="30" xfId="0" applyNumberFormat="1" applyFont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0" fontId="19" fillId="0" borderId="0" xfId="0" applyFont="1" applyAlignment="1">
      <alignment vertical="center"/>
    </xf>
    <xf numFmtId="0" fontId="19" fillId="0" borderId="33" xfId="0" applyFont="1" applyBorder="1" applyAlignment="1">
      <alignment horizontal="center" vertical="center"/>
    </xf>
    <xf numFmtId="2" fontId="7" fillId="0" borderId="0" xfId="1" applyNumberFormat="1" applyFont="1" applyAlignment="1">
      <alignment horizontal="center"/>
    </xf>
    <xf numFmtId="164" fontId="7" fillId="0" borderId="0" xfId="1" applyFont="1" applyAlignment="1">
      <alignment horizontal="center" vertical="center"/>
    </xf>
    <xf numFmtId="164" fontId="9" fillId="0" borderId="0" xfId="1" applyFont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2" fontId="7" fillId="0" borderId="31" xfId="1" applyNumberFormat="1" applyFont="1" applyBorder="1" applyAlignment="1">
      <alignment horizontal="center"/>
    </xf>
    <xf numFmtId="164" fontId="9" fillId="0" borderId="31" xfId="1" applyFont="1" applyBorder="1" applyAlignment="1">
      <alignment horizontal="center"/>
    </xf>
    <xf numFmtId="2" fontId="7" fillId="0" borderId="32" xfId="1" applyNumberFormat="1" applyFont="1" applyBorder="1" applyAlignment="1">
      <alignment horizontal="center"/>
    </xf>
    <xf numFmtId="164" fontId="9" fillId="0" borderId="32" xfId="1" applyFont="1" applyBorder="1" applyAlignment="1">
      <alignment horizontal="center"/>
    </xf>
    <xf numFmtId="0" fontId="19" fillId="0" borderId="34" xfId="0" applyFont="1" applyBorder="1" applyAlignment="1">
      <alignment vertical="center"/>
    </xf>
    <xf numFmtId="0" fontId="7" fillId="0" borderId="36" xfId="0" applyFont="1" applyFill="1" applyBorder="1" applyAlignment="1">
      <alignment horizontal="center"/>
    </xf>
    <xf numFmtId="2" fontId="7" fillId="0" borderId="36" xfId="1" applyNumberFormat="1" applyFont="1" applyBorder="1" applyAlignment="1">
      <alignment horizontal="center"/>
    </xf>
    <xf numFmtId="164" fontId="9" fillId="0" borderId="36" xfId="1" applyFont="1" applyBorder="1" applyAlignment="1">
      <alignment horizontal="center"/>
    </xf>
    <xf numFmtId="164" fontId="9" fillId="3" borderId="1" xfId="1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/>
    </xf>
    <xf numFmtId="2" fontId="9" fillId="3" borderId="1" xfId="1" applyNumberFormat="1" applyFont="1" applyFill="1" applyBorder="1" applyAlignment="1">
      <alignment horizontal="center" vertical="center" wrapText="1" shrinkToFit="1"/>
    </xf>
    <xf numFmtId="2" fontId="9" fillId="3" borderId="1" xfId="1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7" fillId="3" borderId="17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 wrapText="1" shrinkToFit="1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2" fontId="7" fillId="0" borderId="30" xfId="0" applyNumberFormat="1" applyFont="1" applyFill="1" applyBorder="1" applyAlignment="1">
      <alignment horizontal="center"/>
    </xf>
    <xf numFmtId="2" fontId="9" fillId="0" borderId="30" xfId="0" applyNumberFormat="1" applyFont="1" applyFill="1" applyBorder="1" applyAlignment="1">
      <alignment horizontal="center"/>
    </xf>
    <xf numFmtId="2" fontId="7" fillId="0" borderId="31" xfId="0" applyNumberFormat="1" applyFont="1" applyFill="1" applyBorder="1" applyAlignment="1">
      <alignment horizontal="center"/>
    </xf>
    <xf numFmtId="2" fontId="9" fillId="0" borderId="31" xfId="0" applyNumberFormat="1" applyFont="1" applyFill="1" applyBorder="1" applyAlignment="1">
      <alignment horizontal="center"/>
    </xf>
    <xf numFmtId="2" fontId="7" fillId="0" borderId="32" xfId="0" applyNumberFormat="1" applyFont="1" applyFill="1" applyBorder="1" applyAlignment="1">
      <alignment horizontal="center"/>
    </xf>
    <xf numFmtId="2" fontId="9" fillId="0" borderId="32" xfId="0" applyNumberFormat="1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 vertical="center" wrapText="1"/>
    </xf>
    <xf numFmtId="0" fontId="7" fillId="0" borderId="30" xfId="0" applyFont="1" applyFill="1" applyBorder="1"/>
    <xf numFmtId="0" fontId="7" fillId="0" borderId="31" xfId="0" applyFont="1" applyFill="1" applyBorder="1"/>
    <xf numFmtId="0" fontId="9" fillId="0" borderId="0" xfId="0" applyFont="1" applyBorder="1"/>
    <xf numFmtId="2" fontId="9" fillId="3" borderId="38" xfId="0" applyNumberFormat="1" applyFont="1" applyFill="1" applyBorder="1" applyAlignment="1">
      <alignment horizontal="center" vertical="center" wrapText="1"/>
    </xf>
    <xf numFmtId="2" fontId="7" fillId="3" borderId="34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9" fillId="3" borderId="38" xfId="0" applyNumberFormat="1" applyFont="1" applyFill="1" applyBorder="1" applyAlignment="1">
      <alignment horizontal="center" vertical="center" wrapText="1" shrinkToFit="1"/>
    </xf>
    <xf numFmtId="2" fontId="7" fillId="3" borderId="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horizontal="right" wrapText="1"/>
    </xf>
    <xf numFmtId="2" fontId="7" fillId="0" borderId="0" xfId="1" applyNumberFormat="1" applyFont="1" applyAlignment="1">
      <alignment vertical="center"/>
    </xf>
    <xf numFmtId="2" fontId="8" fillId="0" borderId="0" xfId="1" applyNumberFormat="1" applyFont="1" applyBorder="1" applyAlignment="1">
      <alignment vertical="center"/>
    </xf>
    <xf numFmtId="2" fontId="7" fillId="0" borderId="16" xfId="1" applyNumberFormat="1" applyFont="1" applyFill="1" applyBorder="1" applyAlignment="1">
      <alignment vertical="center"/>
    </xf>
    <xf numFmtId="2" fontId="10" fillId="0" borderId="16" xfId="1" applyNumberFormat="1" applyFont="1" applyFill="1" applyBorder="1" applyAlignment="1">
      <alignment vertical="center"/>
    </xf>
    <xf numFmtId="2" fontId="9" fillId="0" borderId="12" xfId="1" applyNumberFormat="1" applyFont="1" applyFill="1" applyBorder="1"/>
    <xf numFmtId="2" fontId="7" fillId="0" borderId="0" xfId="1" applyNumberFormat="1" applyFont="1"/>
    <xf numFmtId="2" fontId="7" fillId="0" borderId="0" xfId="1" applyNumberFormat="1" applyFont="1" applyBorder="1"/>
    <xf numFmtId="2" fontId="7" fillId="0" borderId="2" xfId="1" applyNumberFormat="1" applyFont="1" applyFill="1" applyBorder="1" applyAlignment="1">
      <alignment horizontal="right" wrapText="1"/>
    </xf>
    <xf numFmtId="2" fontId="7" fillId="0" borderId="3" xfId="1" applyNumberFormat="1" applyFont="1" applyFill="1" applyBorder="1" applyAlignment="1">
      <alignment horizontal="right" wrapText="1"/>
    </xf>
    <xf numFmtId="2" fontId="7" fillId="0" borderId="21" xfId="0" applyNumberFormat="1" applyFont="1" applyFill="1" applyBorder="1" applyAlignment="1">
      <alignment horizontal="right" wrapText="1"/>
    </xf>
    <xf numFmtId="2" fontId="7" fillId="0" borderId="0" xfId="0" applyNumberFormat="1" applyFont="1" applyAlignment="1">
      <alignment horizontal="right" wrapText="1"/>
    </xf>
    <xf numFmtId="2" fontId="7" fillId="0" borderId="0" xfId="1" applyNumberFormat="1" applyFont="1" applyBorder="1" applyAlignment="1">
      <alignment horizontal="right" wrapText="1"/>
    </xf>
    <xf numFmtId="2" fontId="7" fillId="0" borderId="22" xfId="1" applyNumberFormat="1" applyFont="1" applyBorder="1" applyAlignment="1">
      <alignment horizontal="right" wrapText="1"/>
    </xf>
    <xf numFmtId="2" fontId="9" fillId="0" borderId="8" xfId="1" applyNumberFormat="1" applyFont="1" applyBorder="1" applyAlignment="1">
      <alignment horizontal="right" wrapText="1"/>
    </xf>
    <xf numFmtId="2" fontId="9" fillId="0" borderId="23" xfId="1" applyNumberFormat="1" applyFont="1" applyBorder="1" applyAlignment="1">
      <alignment horizontal="right" wrapText="1"/>
    </xf>
    <xf numFmtId="2" fontId="9" fillId="0" borderId="0" xfId="0" applyNumberFormat="1" applyFont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2" fontId="7" fillId="0" borderId="0" xfId="0" applyNumberFormat="1" applyFont="1" applyAlignment="1">
      <alignment horizontal="center"/>
    </xf>
    <xf numFmtId="2" fontId="15" fillId="0" borderId="16" xfId="1" applyNumberFormat="1" applyFont="1" applyBorder="1" applyAlignment="1">
      <alignment horizontal="center" vertical="center"/>
    </xf>
    <xf numFmtId="2" fontId="15" fillId="0" borderId="7" xfId="1" applyNumberFormat="1" applyFont="1" applyBorder="1" applyAlignment="1">
      <alignment horizontal="center" vertical="center"/>
    </xf>
    <xf numFmtId="2" fontId="15" fillId="0" borderId="2" xfId="1" applyNumberFormat="1" applyFont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2" fontId="20" fillId="0" borderId="16" xfId="1" applyNumberFormat="1" applyFont="1" applyBorder="1" applyAlignment="1">
      <alignment horizontal="center" vertical="center"/>
    </xf>
    <xf numFmtId="2" fontId="20" fillId="0" borderId="7" xfId="1" applyNumberFormat="1" applyFont="1" applyBorder="1" applyAlignment="1">
      <alignment horizontal="center" vertical="center"/>
    </xf>
    <xf numFmtId="2" fontId="21" fillId="0" borderId="2" xfId="1" applyNumberFormat="1" applyFont="1" applyBorder="1" applyAlignment="1">
      <alignment horizontal="center" vertical="center"/>
    </xf>
    <xf numFmtId="2" fontId="20" fillId="0" borderId="2" xfId="1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7" fillId="0" borderId="0" xfId="0" applyFont="1" applyAlignment="1"/>
    <xf numFmtId="0" fontId="9" fillId="0" borderId="0" xfId="0" applyFont="1" applyAlignment="1">
      <alignment horizontal="center" wrapText="1"/>
    </xf>
    <xf numFmtId="0" fontId="26" fillId="0" borderId="6" xfId="0" applyFont="1" applyFill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30" fillId="0" borderId="0" xfId="0" applyFont="1" applyAlignment="1">
      <alignment horizontal="center" wrapText="1"/>
    </xf>
    <xf numFmtId="2" fontId="30" fillId="0" borderId="0" xfId="0" applyNumberFormat="1" applyFont="1"/>
    <xf numFmtId="0" fontId="30" fillId="0" borderId="0" xfId="0" applyFont="1"/>
    <xf numFmtId="0" fontId="30" fillId="0" borderId="0" xfId="0" applyFont="1" applyAlignment="1"/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31" fillId="0" borderId="21" xfId="0" applyFont="1" applyBorder="1" applyAlignment="1">
      <alignment vertical="center" wrapText="1"/>
    </xf>
    <xf numFmtId="8" fontId="31" fillId="0" borderId="21" xfId="0" applyNumberFormat="1" applyFont="1" applyBorder="1" applyAlignment="1">
      <alignment vertical="center"/>
    </xf>
    <xf numFmtId="0" fontId="31" fillId="0" borderId="21" xfId="0" applyFont="1" applyBorder="1" applyAlignment="1">
      <alignment horizontal="center" vertical="center"/>
    </xf>
    <xf numFmtId="0" fontId="31" fillId="0" borderId="21" xfId="0" applyFont="1" applyBorder="1" applyAlignment="1">
      <alignment horizontal="right" vertical="center"/>
    </xf>
    <xf numFmtId="8" fontId="32" fillId="2" borderId="6" xfId="2" applyNumberFormat="1" applyFont="1" applyFill="1" applyBorder="1" applyAlignment="1">
      <alignment vertical="center"/>
    </xf>
    <xf numFmtId="2" fontId="7" fillId="0" borderId="28" xfId="0" applyNumberFormat="1" applyFont="1" applyBorder="1" applyAlignment="1">
      <alignment horizontal="center" wrapText="1"/>
    </xf>
    <xf numFmtId="10" fontId="7" fillId="0" borderId="0" xfId="0" applyNumberFormat="1" applyFont="1" applyFill="1" applyBorder="1"/>
    <xf numFmtId="0" fontId="26" fillId="0" borderId="16" xfId="0" applyFont="1" applyBorder="1" applyAlignment="1">
      <alignment horizontal="center" vertical="center"/>
    </xf>
    <xf numFmtId="2" fontId="31" fillId="0" borderId="6" xfId="3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4" fillId="0" borderId="6" xfId="0" applyFont="1" applyBorder="1" applyAlignment="1">
      <alignment horizontal="center" vertical="center"/>
    </xf>
    <xf numFmtId="2" fontId="15" fillId="0" borderId="16" xfId="1" applyNumberFormat="1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 wrapText="1"/>
    </xf>
    <xf numFmtId="2" fontId="9" fillId="3" borderId="44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8" fillId="4" borderId="24" xfId="0" applyFont="1" applyFill="1" applyBorder="1" applyAlignment="1">
      <alignment vertical="center"/>
    </xf>
    <xf numFmtId="2" fontId="9" fillId="4" borderId="25" xfId="0" applyNumberFormat="1" applyFont="1" applyFill="1" applyBorder="1" applyAlignment="1">
      <alignment horizontal="center" wrapText="1"/>
    </xf>
    <xf numFmtId="2" fontId="9" fillId="4" borderId="26" xfId="0" applyNumberFormat="1" applyFont="1" applyFill="1" applyBorder="1" applyAlignment="1">
      <alignment horizontal="center" wrapText="1"/>
    </xf>
    <xf numFmtId="0" fontId="8" fillId="4" borderId="24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164" fontId="9" fillId="0" borderId="31" xfId="1" applyFont="1" applyBorder="1" applyAlignment="1">
      <alignment horizontal="center" vertical="center"/>
    </xf>
    <xf numFmtId="164" fontId="7" fillId="0" borderId="31" xfId="1" applyFont="1" applyBorder="1" applyAlignment="1">
      <alignment horizontal="center"/>
    </xf>
    <xf numFmtId="164" fontId="7" fillId="0" borderId="46" xfId="1" applyFont="1" applyBorder="1" applyAlignment="1">
      <alignment horizontal="center"/>
    </xf>
    <xf numFmtId="164" fontId="7" fillId="0" borderId="48" xfId="1" applyFont="1" applyBorder="1" applyAlignment="1">
      <alignment horizontal="center"/>
    </xf>
    <xf numFmtId="44" fontId="7" fillId="0" borderId="0" xfId="0" applyNumberFormat="1" applyFont="1"/>
    <xf numFmtId="0" fontId="24" fillId="0" borderId="0" xfId="0" applyFont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center" vertical="center"/>
    </xf>
    <xf numFmtId="8" fontId="32" fillId="2" borderId="6" xfId="2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2" fontId="31" fillId="2" borderId="6" xfId="2" applyNumberFormat="1" applyFont="1" applyFill="1" applyBorder="1" applyAlignment="1">
      <alignment horizontal="center" vertical="center"/>
    </xf>
    <xf numFmtId="44" fontId="4" fillId="0" borderId="0" xfId="2" applyFont="1"/>
    <xf numFmtId="0" fontId="28" fillId="0" borderId="0" xfId="0" applyFont="1" applyFill="1" applyBorder="1" applyAlignment="1">
      <alignment horizontal="left" vertical="center" wrapText="1"/>
    </xf>
    <xf numFmtId="0" fontId="16" fillId="0" borderId="41" xfId="0" applyFont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wrapText="1"/>
    </xf>
    <xf numFmtId="0" fontId="7" fillId="0" borderId="47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2" fontId="16" fillId="0" borderId="0" xfId="0" applyNumberFormat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 wrapText="1"/>
    </xf>
    <xf numFmtId="1" fontId="32" fillId="0" borderId="0" xfId="2" applyNumberFormat="1" applyFont="1" applyFill="1" applyBorder="1" applyAlignment="1">
      <alignment horizontal="center" vertical="center"/>
    </xf>
    <xf numFmtId="0" fontId="13" fillId="0" borderId="49" xfId="0" applyFont="1" applyBorder="1" applyAlignment="1">
      <alignment vertical="center"/>
    </xf>
    <xf numFmtId="164" fontId="7" fillId="0" borderId="50" xfId="1" applyFont="1" applyBorder="1" applyAlignment="1">
      <alignment horizontal="center"/>
    </xf>
    <xf numFmtId="164" fontId="7" fillId="0" borderId="51" xfId="1" applyFont="1" applyBorder="1" applyAlignment="1">
      <alignment horizontal="center"/>
    </xf>
    <xf numFmtId="164" fontId="9" fillId="0" borderId="53" xfId="1" applyFont="1" applyBorder="1" applyAlignment="1">
      <alignment horizontal="center" vertical="center"/>
    </xf>
    <xf numFmtId="164" fontId="9" fillId="0" borderId="52" xfId="1" applyFont="1" applyBorder="1" applyAlignment="1">
      <alignment horizontal="center" vertical="center"/>
    </xf>
    <xf numFmtId="164" fontId="7" fillId="0" borderId="53" xfId="1" applyFont="1" applyBorder="1" applyAlignment="1">
      <alignment horizontal="center"/>
    </xf>
    <xf numFmtId="164" fontId="7" fillId="0" borderId="54" xfId="1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vertical="center"/>
    </xf>
    <xf numFmtId="4" fontId="32" fillId="0" borderId="0" xfId="1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8" fontId="32" fillId="2" borderId="4" xfId="2" applyNumberFormat="1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wrapText="1" shrinkToFit="1"/>
    </xf>
    <xf numFmtId="2" fontId="9" fillId="0" borderId="3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Alignment="1">
      <alignment vertical="center"/>
    </xf>
    <xf numFmtId="0" fontId="9" fillId="0" borderId="4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2" fontId="7" fillId="0" borderId="32" xfId="0" applyNumberFormat="1" applyFont="1" applyBorder="1" applyAlignment="1">
      <alignment horizontal="center"/>
    </xf>
    <xf numFmtId="2" fontId="9" fillId="0" borderId="32" xfId="0" applyNumberFormat="1" applyFont="1" applyBorder="1" applyAlignment="1">
      <alignment horizontal="center"/>
    </xf>
    <xf numFmtId="2" fontId="7" fillId="0" borderId="55" xfId="0" applyNumberFormat="1" applyFont="1" applyBorder="1" applyAlignment="1">
      <alignment horizontal="center" wrapText="1"/>
    </xf>
    <xf numFmtId="2" fontId="7" fillId="0" borderId="0" xfId="1" applyNumberFormat="1" applyFont="1" applyBorder="1" applyAlignment="1">
      <alignment horizontal="center" vertical="center"/>
    </xf>
    <xf numFmtId="164" fontId="9" fillId="0" borderId="4" xfId="1" applyFont="1" applyFill="1" applyBorder="1" applyAlignment="1">
      <alignment horizontal="center" vertical="center" wrapText="1"/>
    </xf>
    <xf numFmtId="164" fontId="9" fillId="0" borderId="5" xfId="1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44" fontId="32" fillId="2" borderId="6" xfId="2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25" fillId="0" borderId="38" xfId="0" applyNumberFormat="1" applyFont="1" applyFill="1" applyBorder="1" applyAlignment="1">
      <alignment horizontal="center" vertical="center" wrapText="1"/>
    </xf>
    <xf numFmtId="4" fontId="25" fillId="0" borderId="27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4" fontId="25" fillId="0" borderId="38" xfId="0" applyNumberFormat="1" applyFont="1" applyFill="1" applyBorder="1" applyAlignment="1">
      <alignment horizontal="center" vertical="center"/>
    </xf>
    <xf numFmtId="4" fontId="25" fillId="0" borderId="27" xfId="0" applyNumberFormat="1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left" vertical="center" wrapText="1"/>
    </xf>
    <xf numFmtId="44" fontId="32" fillId="2" borderId="11" xfId="2" applyFont="1" applyFill="1" applyBorder="1" applyAlignment="1">
      <alignment horizontal="center" vertical="center"/>
    </xf>
    <xf numFmtId="44" fontId="32" fillId="2" borderId="12" xfId="2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8" fontId="31" fillId="0" borderId="7" xfId="0" applyNumberFormat="1" applyFont="1" applyBorder="1" applyAlignment="1">
      <alignment horizontal="center" vertical="center"/>
    </xf>
    <xf numFmtId="8" fontId="31" fillId="0" borderId="3" xfId="0" applyNumberFormat="1" applyFont="1" applyBorder="1" applyAlignment="1">
      <alignment horizontal="center" vertical="center"/>
    </xf>
    <xf numFmtId="2" fontId="31" fillId="0" borderId="39" xfId="3" applyNumberFormat="1" applyFont="1" applyBorder="1" applyAlignment="1">
      <alignment horizontal="center" vertical="center"/>
    </xf>
    <xf numFmtId="2" fontId="31" fillId="0" borderId="40" xfId="3" applyNumberFormat="1" applyFont="1" applyBorder="1" applyAlignment="1">
      <alignment horizontal="center" vertical="center"/>
    </xf>
    <xf numFmtId="8" fontId="31" fillId="0" borderId="7" xfId="0" applyNumberFormat="1" applyFont="1" applyBorder="1" applyAlignment="1">
      <alignment horizontal="right" vertical="center"/>
    </xf>
    <xf numFmtId="0" fontId="31" fillId="0" borderId="3" xfId="0" applyFont="1" applyBorder="1" applyAlignment="1">
      <alignment horizontal="righ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8" fontId="31" fillId="0" borderId="11" xfId="0" applyNumberFormat="1" applyFont="1" applyBorder="1" applyAlignment="1">
      <alignment horizontal="right" vertical="center"/>
    </xf>
    <xf numFmtId="0" fontId="31" fillId="0" borderId="12" xfId="0" applyFont="1" applyBorder="1" applyAlignment="1">
      <alignment horizontal="right" vertical="center"/>
    </xf>
    <xf numFmtId="1" fontId="32" fillId="2" borderId="11" xfId="2" applyNumberFormat="1" applyFont="1" applyFill="1" applyBorder="1" applyAlignment="1">
      <alignment horizontal="center" vertical="center"/>
    </xf>
    <xf numFmtId="1" fontId="32" fillId="2" borderId="12" xfId="2" applyNumberFormat="1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right" vertical="center" wrapText="1"/>
    </xf>
    <xf numFmtId="0" fontId="27" fillId="2" borderId="14" xfId="0" applyFont="1" applyFill="1" applyBorder="1" applyAlignment="1">
      <alignment horizontal="right" vertical="center" wrapText="1"/>
    </xf>
    <xf numFmtId="0" fontId="27" fillId="2" borderId="5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33" fillId="0" borderId="0" xfId="4" applyBorder="1" applyAlignment="1">
      <alignment horizontal="center" vertical="center" wrapText="1"/>
    </xf>
    <xf numFmtId="2" fontId="35" fillId="0" borderId="2" xfId="0" applyNumberFormat="1" applyFont="1" applyBorder="1" applyAlignment="1">
      <alignment horizontal="center" vertical="center" wrapText="1"/>
    </xf>
    <xf numFmtId="2" fontId="35" fillId="0" borderId="3" xfId="0" applyNumberFormat="1" applyFont="1" applyBorder="1" applyAlignment="1">
      <alignment horizontal="center" vertical="center" wrapText="1"/>
    </xf>
    <xf numFmtId="2" fontId="31" fillId="0" borderId="7" xfId="0" applyNumberFormat="1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center" vertical="center"/>
    </xf>
    <xf numFmtId="2" fontId="31" fillId="0" borderId="7" xfId="3" applyNumberFormat="1" applyFont="1" applyBorder="1" applyAlignment="1">
      <alignment horizontal="center" vertical="center"/>
    </xf>
    <xf numFmtId="2" fontId="31" fillId="0" borderId="3" xfId="3" applyNumberFormat="1" applyFont="1" applyBorder="1" applyAlignment="1">
      <alignment horizontal="center" vertical="center"/>
    </xf>
    <xf numFmtId="8" fontId="31" fillId="0" borderId="3" xfId="0" applyNumberFormat="1" applyFont="1" applyBorder="1" applyAlignment="1">
      <alignment horizontal="right" vertical="center"/>
    </xf>
    <xf numFmtId="164" fontId="17" fillId="0" borderId="34" xfId="1" applyFont="1" applyFill="1" applyBorder="1" applyAlignment="1">
      <alignment horizontal="center" vertical="center" wrapText="1"/>
    </xf>
    <xf numFmtId="164" fontId="17" fillId="0" borderId="35" xfId="1" applyFont="1" applyFill="1" applyBorder="1" applyAlignment="1">
      <alignment horizontal="center" vertical="center" wrapText="1"/>
    </xf>
    <xf numFmtId="2" fontId="17" fillId="0" borderId="34" xfId="1" applyNumberFormat="1" applyFont="1" applyFill="1" applyBorder="1" applyAlignment="1">
      <alignment horizontal="center" vertical="center" wrapText="1"/>
    </xf>
    <xf numFmtId="2" fontId="17" fillId="0" borderId="35" xfId="1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justify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33" fillId="0" borderId="0" xfId="4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8" fontId="31" fillId="0" borderId="10" xfId="0" applyNumberFormat="1" applyFont="1" applyBorder="1" applyAlignment="1">
      <alignment horizontal="center" vertical="center"/>
    </xf>
    <xf numFmtId="8" fontId="31" fillId="0" borderId="18" xfId="0" applyNumberFormat="1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2" fontId="17" fillId="0" borderId="17" xfId="0" applyNumberFormat="1" applyFont="1" applyFill="1" applyBorder="1" applyAlignment="1">
      <alignment horizontal="center" vertical="center" wrapText="1"/>
    </xf>
    <xf numFmtId="2" fontId="17" fillId="0" borderId="29" xfId="0" applyNumberFormat="1" applyFont="1" applyFill="1" applyBorder="1" applyAlignment="1">
      <alignment horizontal="center" vertical="center" wrapText="1"/>
    </xf>
    <xf numFmtId="1" fontId="32" fillId="2" borderId="7" xfId="2" applyNumberFormat="1" applyFont="1" applyFill="1" applyBorder="1" applyAlignment="1">
      <alignment horizontal="center" vertical="center"/>
    </xf>
    <xf numFmtId="1" fontId="32" fillId="2" borderId="3" xfId="2" applyNumberFormat="1" applyFont="1" applyFill="1" applyBorder="1" applyAlignment="1">
      <alignment horizontal="center" vertical="center"/>
    </xf>
    <xf numFmtId="2" fontId="35" fillId="0" borderId="7" xfId="0" applyNumberFormat="1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2" fontId="15" fillId="0" borderId="13" xfId="0" applyNumberFormat="1" applyFont="1" applyBorder="1" applyAlignment="1">
      <alignment horizontal="right" vertical="center" wrapText="1"/>
    </xf>
    <xf numFmtId="2" fontId="15" fillId="0" borderId="16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0" fontId="8" fillId="4" borderId="4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15" fillId="0" borderId="0" xfId="0" applyFont="1" applyAlignment="1">
      <alignment horizontal="justify" vertical="center" wrapText="1"/>
    </xf>
    <xf numFmtId="0" fontId="15" fillId="0" borderId="15" xfId="0" applyFont="1" applyBorder="1" applyAlignment="1">
      <alignment horizontal="justify" vertical="center" wrapText="1"/>
    </xf>
    <xf numFmtId="2" fontId="7" fillId="0" borderId="16" xfId="0" applyNumberFormat="1" applyFont="1" applyBorder="1" applyAlignment="1">
      <alignment horizontal="right" wrapText="1"/>
    </xf>
    <xf numFmtId="2" fontId="7" fillId="0" borderId="12" xfId="0" applyNumberFormat="1" applyFont="1" applyBorder="1" applyAlignment="1">
      <alignment horizontal="right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1" xfId="0" applyFont="1" applyFill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2" fontId="15" fillId="0" borderId="7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2" fontId="15" fillId="0" borderId="2" xfId="0" applyNumberFormat="1" applyFont="1" applyBorder="1" applyAlignment="1">
      <alignment horizontal="right" vertical="center" wrapText="1"/>
    </xf>
    <xf numFmtId="2" fontId="15" fillId="0" borderId="3" xfId="0" applyNumberFormat="1" applyFont="1" applyBorder="1" applyAlignment="1">
      <alignment horizontal="right" vertical="center" wrapText="1"/>
    </xf>
    <xf numFmtId="2" fontId="21" fillId="0" borderId="16" xfId="0" applyNumberFormat="1" applyFont="1" applyBorder="1" applyAlignment="1">
      <alignment horizontal="right" wrapText="1"/>
    </xf>
    <xf numFmtId="2" fontId="21" fillId="0" borderId="12" xfId="0" applyNumberFormat="1" applyFont="1" applyBorder="1" applyAlignment="1">
      <alignment horizontal="right" wrapText="1"/>
    </xf>
    <xf numFmtId="0" fontId="22" fillId="4" borderId="4" xfId="0" applyFont="1" applyFill="1" applyBorder="1" applyAlignment="1">
      <alignment horizontal="justify" vertical="center" wrapText="1"/>
    </xf>
    <xf numFmtId="0" fontId="22" fillId="4" borderId="14" xfId="0" applyFont="1" applyFill="1" applyBorder="1" applyAlignment="1">
      <alignment horizontal="justify" vertical="center" wrapText="1"/>
    </xf>
    <xf numFmtId="0" fontId="22" fillId="4" borderId="5" xfId="0" applyFont="1" applyFill="1" applyBorder="1" applyAlignment="1">
      <alignment horizontal="justify" vertical="center" wrapText="1"/>
    </xf>
    <xf numFmtId="0" fontId="20" fillId="0" borderId="2" xfId="0" applyFont="1" applyBorder="1" applyAlignment="1">
      <alignment horizontal="justify" vertical="center" wrapText="1"/>
    </xf>
    <xf numFmtId="2" fontId="20" fillId="0" borderId="13" xfId="0" applyNumberFormat="1" applyFont="1" applyBorder="1" applyAlignment="1">
      <alignment horizontal="right" vertical="center" wrapText="1"/>
    </xf>
    <xf numFmtId="2" fontId="20" fillId="0" borderId="16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horizontal="justify" vertical="center" wrapText="1"/>
    </xf>
    <xf numFmtId="2" fontId="20" fillId="0" borderId="7" xfId="0" applyNumberFormat="1" applyFont="1" applyBorder="1" applyAlignment="1">
      <alignment horizontal="right" vertical="center" wrapText="1"/>
    </xf>
    <xf numFmtId="2" fontId="21" fillId="0" borderId="2" xfId="0" applyNumberFormat="1" applyFont="1" applyBorder="1" applyAlignment="1">
      <alignment horizontal="right" vertical="center" wrapText="1"/>
    </xf>
    <xf numFmtId="2" fontId="20" fillId="0" borderId="2" xfId="0" applyNumberFormat="1" applyFont="1" applyBorder="1" applyAlignment="1">
      <alignment horizontal="right" vertical="center" wrapText="1"/>
    </xf>
    <xf numFmtId="2" fontId="20" fillId="0" borderId="3" xfId="0" applyNumberFormat="1" applyFont="1" applyBorder="1" applyAlignment="1">
      <alignment horizontal="right" vertical="center" wrapText="1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C0C0C0"/>
      <color rgb="FF0033CC"/>
      <color rgb="FF0000CC"/>
      <color rgb="FF0000FF"/>
      <color rgb="FF3399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rviciopas.umh.es/files/2019/04/CALCULO-RC-nuevo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erviciopas.umh.es/files/2019/04/CALCULO-RC-nuevo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erviciopas.umh.es/files/2019/04/CALCULO-RC-nuevo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serviciopas.umh.es/files/2019/04/CALCULO-RC-nuevo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serviciopas.umh.es/files/2019/04/CALCULO-RC-nuevo.xls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serviciopas.umh.es/files/2019/04/CALCULO-RC-nuevo.xls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serviciopas.umh.es/files/2019/04/CALCULO-RC-nuevo.xls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serviciopas.umh.es/files/2019/04/CALCULO-RC-nuevo.xls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G22" zoomScaleNormal="100" workbookViewId="0">
      <selection activeCell="L23" sqref="L23:L24 D43"/>
    </sheetView>
  </sheetViews>
  <sheetFormatPr baseColWidth="10" defaultColWidth="11.5703125" defaultRowHeight="12.75" x14ac:dyDescent="0.2"/>
  <cols>
    <col min="1" max="1" width="15" style="33" customWidth="1"/>
    <col min="2" max="2" width="19.7109375" style="33" customWidth="1"/>
    <col min="3" max="3" width="16.5703125" style="33" hidden="1" customWidth="1"/>
    <col min="4" max="4" width="18.28515625" style="119" customWidth="1"/>
    <col min="5" max="5" width="18.28515625" style="8" customWidth="1"/>
    <col min="6" max="6" width="24.85546875" style="8" customWidth="1"/>
    <col min="7" max="7" width="18.42578125" style="8" customWidth="1"/>
    <col min="8" max="8" width="11.5703125" style="8"/>
    <col min="9" max="9" width="19.7109375" style="35" customWidth="1"/>
    <col min="10" max="10" width="19.42578125" style="19" customWidth="1"/>
    <col min="11" max="11" width="18.7109375" style="8" customWidth="1"/>
    <col min="12" max="12" width="17.7109375" style="118" customWidth="1"/>
    <col min="13" max="13" width="14.140625" style="8" customWidth="1"/>
    <col min="14" max="16384" width="11.5703125" style="8"/>
  </cols>
  <sheetData>
    <row r="1" spans="1:13" ht="51.75" customHeight="1" x14ac:dyDescent="0.2">
      <c r="A1" s="215" t="s">
        <v>94</v>
      </c>
      <c r="B1" s="216"/>
      <c r="C1" s="216"/>
      <c r="D1" s="216"/>
      <c r="E1" s="216"/>
      <c r="F1" s="216"/>
      <c r="G1" s="216"/>
    </row>
    <row r="2" spans="1:13" s="36" customFormat="1" ht="28.5" customHeight="1" x14ac:dyDescent="0.2">
      <c r="A2" s="44"/>
      <c r="B2" s="221" t="s">
        <v>47</v>
      </c>
      <c r="C2" s="221"/>
      <c r="D2" s="221"/>
      <c r="E2" s="42"/>
      <c r="F2" s="221" t="s">
        <v>48</v>
      </c>
      <c r="G2" s="222"/>
      <c r="I2" s="217" t="s">
        <v>53</v>
      </c>
      <c r="J2" s="217"/>
      <c r="K2" s="217"/>
      <c r="L2" s="217" t="s">
        <v>57</v>
      </c>
      <c r="M2" s="217"/>
    </row>
    <row r="3" spans="1:13" s="27" customFormat="1" ht="38.25" x14ac:dyDescent="0.2">
      <c r="A3" s="43" t="s">
        <v>45</v>
      </c>
      <c r="B3" s="40" t="s">
        <v>46</v>
      </c>
      <c r="C3" s="40" t="s">
        <v>54</v>
      </c>
      <c r="D3" s="191" t="s">
        <v>49</v>
      </c>
      <c r="E3" s="40" t="s">
        <v>45</v>
      </c>
      <c r="F3" s="40" t="s">
        <v>46</v>
      </c>
      <c r="G3" s="41" t="s">
        <v>50</v>
      </c>
      <c r="I3" s="127" t="s">
        <v>52</v>
      </c>
      <c r="J3" s="127" t="s">
        <v>63</v>
      </c>
      <c r="K3" s="127" t="s">
        <v>64</v>
      </c>
      <c r="L3" s="128" t="s">
        <v>55</v>
      </c>
      <c r="M3" s="127" t="s">
        <v>56</v>
      </c>
    </row>
    <row r="4" spans="1:13" ht="16.5" customHeight="1" x14ac:dyDescent="0.2">
      <c r="A4" s="37">
        <v>37.5</v>
      </c>
      <c r="B4" s="45">
        <f>PARAMETROS!B2</f>
        <v>2586.5420104402083</v>
      </c>
      <c r="C4" s="45"/>
      <c r="D4" s="134"/>
      <c r="E4" s="37">
        <v>37.5</v>
      </c>
      <c r="F4" s="45">
        <f>PARAMETROS!C2</f>
        <v>3362.504613572271</v>
      </c>
      <c r="G4" s="45">
        <f>IF(F4&gt;=$K$4,$K$4*$K$18%,F4*$K$18%)</f>
        <v>1096.1765040245605</v>
      </c>
      <c r="I4" s="218">
        <v>1</v>
      </c>
      <c r="J4" s="219">
        <v>1466.4</v>
      </c>
      <c r="K4" s="219">
        <v>4070.1</v>
      </c>
      <c r="L4" s="223">
        <v>1050</v>
      </c>
      <c r="M4" s="223">
        <v>4070.1</v>
      </c>
    </row>
    <row r="5" spans="1:13" ht="16.5" customHeight="1" x14ac:dyDescent="0.2">
      <c r="A5" s="38">
        <v>36</v>
      </c>
      <c r="B5" s="46">
        <f>(PRODUCT(B$4,A5)/A$4)</f>
        <v>2483.0803300225998</v>
      </c>
      <c r="C5" s="192">
        <f>((A5/$A$4*7.5*5)/7)*30*$D$43</f>
        <v>1362.3428571428574</v>
      </c>
      <c r="D5" s="134">
        <f t="shared" ref="D5:D40" si="0">IF(B5&lt;C5,C5*$K$18%,B5*$K$18%)</f>
        <v>809.48418758736761</v>
      </c>
      <c r="E5" s="38">
        <v>36</v>
      </c>
      <c r="F5" s="46">
        <f t="shared" ref="F5:F40" si="1">PRODUCT(F$4,E5)/E$4</f>
        <v>3228.0044290293799</v>
      </c>
      <c r="G5" s="46">
        <f t="shared" ref="G5:G40" si="2">IF(F5&gt;=$K$4,$K$4*$K$18%,F5*$K$18%)</f>
        <v>1052.3294438635778</v>
      </c>
      <c r="I5" s="218"/>
      <c r="J5" s="220"/>
      <c r="K5" s="220"/>
      <c r="L5" s="224"/>
      <c r="M5" s="224"/>
    </row>
    <row r="6" spans="1:13" ht="16.5" customHeight="1" x14ac:dyDescent="0.2">
      <c r="A6" s="38">
        <v>35</v>
      </c>
      <c r="B6" s="46">
        <f t="shared" ref="B6:B40" si="3">(PRODUCT(B$4,A6)/A$4)</f>
        <v>2414.1058764108611</v>
      </c>
      <c r="C6" s="192">
        <f t="shared" ref="C6:C40" si="4">((A6/A$4*7.5*5)/7)*30*$D$43</f>
        <v>1324.5</v>
      </c>
      <c r="D6" s="134">
        <f t="shared" si="0"/>
        <v>786.99851570994076</v>
      </c>
      <c r="E6" s="38">
        <v>35</v>
      </c>
      <c r="F6" s="46">
        <f t="shared" si="1"/>
        <v>3138.3376393341196</v>
      </c>
      <c r="G6" s="46">
        <f t="shared" si="2"/>
        <v>1023.098070422923</v>
      </c>
      <c r="J6" s="8"/>
    </row>
    <row r="7" spans="1:13" ht="16.5" customHeight="1" thickBot="1" x14ac:dyDescent="0.25">
      <c r="A7" s="38">
        <v>34</v>
      </c>
      <c r="B7" s="46">
        <f t="shared" si="3"/>
        <v>2345.131422799122</v>
      </c>
      <c r="C7" s="192">
        <f t="shared" si="4"/>
        <v>1286.6571428571426</v>
      </c>
      <c r="D7" s="134">
        <f t="shared" si="0"/>
        <v>764.51284383251379</v>
      </c>
      <c r="E7" s="38">
        <v>34</v>
      </c>
      <c r="F7" s="46">
        <f t="shared" si="1"/>
        <v>3048.6708496388592</v>
      </c>
      <c r="G7" s="46">
        <f t="shared" si="2"/>
        <v>993.86669698226808</v>
      </c>
    </row>
    <row r="8" spans="1:13" ht="16.5" customHeight="1" x14ac:dyDescent="0.2">
      <c r="A8" s="38">
        <v>33</v>
      </c>
      <c r="B8" s="46">
        <f t="shared" si="3"/>
        <v>2276.1569691873833</v>
      </c>
      <c r="C8" s="192">
        <f t="shared" si="4"/>
        <v>1248.8142857142859</v>
      </c>
      <c r="D8" s="134">
        <f t="shared" si="0"/>
        <v>742.02717195508694</v>
      </c>
      <c r="E8" s="38">
        <v>33</v>
      </c>
      <c r="F8" s="46">
        <f t="shared" si="1"/>
        <v>2959.0040599435983</v>
      </c>
      <c r="G8" s="46">
        <f t="shared" si="2"/>
        <v>964.63532354161305</v>
      </c>
      <c r="I8" s="229" t="s">
        <v>103</v>
      </c>
      <c r="J8" s="229"/>
      <c r="K8" s="230"/>
      <c r="L8" s="227">
        <v>0</v>
      </c>
    </row>
    <row r="9" spans="1:13" ht="16.5" customHeight="1" thickBot="1" x14ac:dyDescent="0.25">
      <c r="A9" s="38">
        <v>32</v>
      </c>
      <c r="B9" s="46">
        <f t="shared" si="3"/>
        <v>2207.1825155756446</v>
      </c>
      <c r="C9" s="192">
        <f t="shared" si="4"/>
        <v>1210.9714285714285</v>
      </c>
      <c r="D9" s="134">
        <f t="shared" si="0"/>
        <v>719.5415000776602</v>
      </c>
      <c r="E9" s="38">
        <v>32</v>
      </c>
      <c r="F9" s="46">
        <f t="shared" si="1"/>
        <v>2869.337270248338</v>
      </c>
      <c r="G9" s="46">
        <f t="shared" si="2"/>
        <v>935.40395010095824</v>
      </c>
      <c r="I9" s="229"/>
      <c r="J9" s="229"/>
      <c r="K9" s="230"/>
      <c r="L9" s="228"/>
    </row>
    <row r="10" spans="1:13" ht="16.5" customHeight="1" thickBot="1" x14ac:dyDescent="0.25">
      <c r="A10" s="38">
        <v>31</v>
      </c>
      <c r="B10" s="46">
        <f t="shared" si="3"/>
        <v>2138.2080619639055</v>
      </c>
      <c r="C10" s="192">
        <f t="shared" si="4"/>
        <v>1173.1285714285714</v>
      </c>
      <c r="D10" s="134">
        <f t="shared" si="0"/>
        <v>697.05582820023324</v>
      </c>
      <c r="E10" s="38">
        <v>31</v>
      </c>
      <c r="F10" s="46">
        <f t="shared" si="1"/>
        <v>2779.6704805530776</v>
      </c>
      <c r="G10" s="46">
        <f t="shared" si="2"/>
        <v>906.17257666030332</v>
      </c>
      <c r="I10" s="123"/>
      <c r="J10" s="124"/>
      <c r="K10" s="125"/>
      <c r="L10" s="126"/>
    </row>
    <row r="11" spans="1:13" ht="16.5" customHeight="1" x14ac:dyDescent="0.2">
      <c r="A11" s="38">
        <v>30</v>
      </c>
      <c r="B11" s="46">
        <f t="shared" si="3"/>
        <v>2069.2336083521668</v>
      </c>
      <c r="C11" s="192">
        <f t="shared" si="4"/>
        <v>1135.2857142857142</v>
      </c>
      <c r="D11" s="134">
        <f t="shared" si="0"/>
        <v>674.57015632280638</v>
      </c>
      <c r="E11" s="38">
        <v>30</v>
      </c>
      <c r="F11" s="46">
        <f t="shared" si="1"/>
        <v>2690.0036908578168</v>
      </c>
      <c r="G11" s="46">
        <f t="shared" si="2"/>
        <v>876.94120321964829</v>
      </c>
      <c r="I11" s="231" t="s">
        <v>65</v>
      </c>
      <c r="J11" s="232"/>
      <c r="K11" s="232"/>
      <c r="L11" s="233"/>
    </row>
    <row r="12" spans="1:13" ht="16.5" customHeight="1" thickBot="1" x14ac:dyDescent="0.25">
      <c r="A12" s="38">
        <v>29</v>
      </c>
      <c r="B12" s="46">
        <f t="shared" si="3"/>
        <v>2000.2591547404277</v>
      </c>
      <c r="C12" s="192">
        <f t="shared" si="4"/>
        <v>1097.4428571428573</v>
      </c>
      <c r="D12" s="134">
        <f t="shared" si="0"/>
        <v>652.08448444537942</v>
      </c>
      <c r="E12" s="38">
        <v>29</v>
      </c>
      <c r="F12" s="46">
        <f t="shared" si="1"/>
        <v>2600.3369011625564</v>
      </c>
      <c r="G12" s="46">
        <f t="shared" si="2"/>
        <v>847.70982977899337</v>
      </c>
      <c r="I12" s="234"/>
      <c r="J12" s="235"/>
      <c r="K12" s="235"/>
      <c r="L12" s="236"/>
    </row>
    <row r="13" spans="1:13" ht="16.5" customHeight="1" thickBot="1" x14ac:dyDescent="0.25">
      <c r="A13" s="38">
        <v>28</v>
      </c>
      <c r="B13" s="46">
        <f t="shared" si="3"/>
        <v>1931.284701128689</v>
      </c>
      <c r="C13" s="192">
        <f t="shared" si="4"/>
        <v>1059.6000000000004</v>
      </c>
      <c r="D13" s="134">
        <f t="shared" si="0"/>
        <v>629.59881256795268</v>
      </c>
      <c r="E13" s="38">
        <v>28</v>
      </c>
      <c r="F13" s="46">
        <f t="shared" si="1"/>
        <v>2510.670111467296</v>
      </c>
      <c r="G13" s="46">
        <f t="shared" si="2"/>
        <v>818.47845633833856</v>
      </c>
      <c r="I13" s="120"/>
      <c r="J13" s="121" t="s">
        <v>58</v>
      </c>
      <c r="K13" s="136" t="s">
        <v>59</v>
      </c>
      <c r="L13" s="122" t="s">
        <v>60</v>
      </c>
    </row>
    <row r="14" spans="1:13" ht="16.5" customHeight="1" x14ac:dyDescent="0.2">
      <c r="A14" s="38">
        <v>27</v>
      </c>
      <c r="B14" s="46">
        <f t="shared" si="3"/>
        <v>1862.3102475169499</v>
      </c>
      <c r="C14" s="192">
        <f t="shared" si="4"/>
        <v>1021.7571428571429</v>
      </c>
      <c r="D14" s="134">
        <f t="shared" si="0"/>
        <v>607.11314069052571</v>
      </c>
      <c r="E14" s="38">
        <v>27</v>
      </c>
      <c r="F14" s="46">
        <f t="shared" si="1"/>
        <v>2421.0033217720352</v>
      </c>
      <c r="G14" s="46">
        <f t="shared" si="2"/>
        <v>789.24708289768353</v>
      </c>
      <c r="I14" s="237" t="s">
        <v>61</v>
      </c>
      <c r="J14" s="239">
        <f>IF(L8&gt;=J4,L8,J4)</f>
        <v>1466.4</v>
      </c>
      <c r="K14" s="241">
        <v>23.6</v>
      </c>
      <c r="L14" s="247">
        <f>J14*K14%</f>
        <v>346.07040000000006</v>
      </c>
    </row>
    <row r="15" spans="1:13" ht="16.5" customHeight="1" thickBot="1" x14ac:dyDescent="0.25">
      <c r="A15" s="38">
        <v>26</v>
      </c>
      <c r="B15" s="46">
        <f t="shared" si="3"/>
        <v>1793.3357939052112</v>
      </c>
      <c r="C15" s="192">
        <f t="shared" si="4"/>
        <v>983.91428571428571</v>
      </c>
      <c r="D15" s="134">
        <f t="shared" si="0"/>
        <v>584.62746881309886</v>
      </c>
      <c r="E15" s="38">
        <v>26</v>
      </c>
      <c r="F15" s="46">
        <f t="shared" si="1"/>
        <v>2331.3365320767743</v>
      </c>
      <c r="G15" s="46">
        <f t="shared" si="2"/>
        <v>760.01570945702849</v>
      </c>
      <c r="I15" s="238"/>
      <c r="J15" s="240"/>
      <c r="K15" s="242"/>
      <c r="L15" s="248"/>
    </row>
    <row r="16" spans="1:13" ht="16.5" customHeight="1" x14ac:dyDescent="0.2">
      <c r="A16" s="38">
        <v>25</v>
      </c>
      <c r="B16" s="46">
        <f t="shared" si="3"/>
        <v>1724.3613402934723</v>
      </c>
      <c r="C16" s="192">
        <f t="shared" si="4"/>
        <v>946.07142857142867</v>
      </c>
      <c r="D16" s="134">
        <f t="shared" si="0"/>
        <v>562.14179693567201</v>
      </c>
      <c r="E16" s="38">
        <v>25</v>
      </c>
      <c r="F16" s="46">
        <f t="shared" si="1"/>
        <v>2241.669742381514</v>
      </c>
      <c r="G16" s="46">
        <f t="shared" si="2"/>
        <v>730.78433601637357</v>
      </c>
      <c r="I16" s="245" t="s">
        <v>62</v>
      </c>
      <c r="J16" s="239">
        <f>IF(L8&gt;=L4,L8,L4)</f>
        <v>1050</v>
      </c>
      <c r="K16" s="241">
        <v>9</v>
      </c>
      <c r="L16" s="243">
        <f>J16*K16%</f>
        <v>94.5</v>
      </c>
    </row>
    <row r="17" spans="1:14" ht="16.5" customHeight="1" thickBot="1" x14ac:dyDescent="0.25">
      <c r="A17" s="38">
        <v>24</v>
      </c>
      <c r="B17" s="46">
        <f t="shared" si="3"/>
        <v>1655.3868866817334</v>
      </c>
      <c r="C17" s="192">
        <f t="shared" si="4"/>
        <v>908.2285714285714</v>
      </c>
      <c r="D17" s="134">
        <f t="shared" si="0"/>
        <v>539.65612505824504</v>
      </c>
      <c r="E17" s="38">
        <v>24</v>
      </c>
      <c r="F17" s="46">
        <f t="shared" si="1"/>
        <v>2152.0029526862531</v>
      </c>
      <c r="G17" s="46">
        <f t="shared" si="2"/>
        <v>701.55296257571854</v>
      </c>
      <c r="I17" s="246"/>
      <c r="J17" s="240"/>
      <c r="K17" s="242">
        <v>0.2</v>
      </c>
      <c r="L17" s="244"/>
    </row>
    <row r="18" spans="1:14" ht="16.5" customHeight="1" thickBot="1" x14ac:dyDescent="0.25">
      <c r="A18" s="38">
        <v>23</v>
      </c>
      <c r="B18" s="46">
        <f t="shared" si="3"/>
        <v>1586.4124330699944</v>
      </c>
      <c r="C18" s="192">
        <f t="shared" si="4"/>
        <v>870.38571428571424</v>
      </c>
      <c r="D18" s="134">
        <f t="shared" si="0"/>
        <v>517.17045318081819</v>
      </c>
      <c r="E18" s="38">
        <v>23</v>
      </c>
      <c r="F18" s="46">
        <f t="shared" si="1"/>
        <v>2062.3361629909928</v>
      </c>
      <c r="G18" s="46">
        <f t="shared" si="2"/>
        <v>672.32158913506362</v>
      </c>
      <c r="I18" s="225" t="s">
        <v>66</v>
      </c>
      <c r="J18" s="226"/>
      <c r="K18" s="137">
        <f>(K14+K16)</f>
        <v>32.6</v>
      </c>
      <c r="L18" s="133">
        <f>SUM(L14:L17)</f>
        <v>440.57040000000006</v>
      </c>
    </row>
    <row r="19" spans="1:14" ht="16.5" customHeight="1" x14ac:dyDescent="0.2">
      <c r="A19" s="38">
        <v>22</v>
      </c>
      <c r="B19" s="46">
        <f t="shared" si="3"/>
        <v>1517.4379794582555</v>
      </c>
      <c r="C19" s="192">
        <f t="shared" si="4"/>
        <v>832.54285714285709</v>
      </c>
      <c r="D19" s="134">
        <f t="shared" si="0"/>
        <v>494.68478130339133</v>
      </c>
      <c r="E19" s="38">
        <v>22</v>
      </c>
      <c r="F19" s="46">
        <f t="shared" si="1"/>
        <v>1972.6693732957324</v>
      </c>
      <c r="G19" s="46">
        <f t="shared" si="2"/>
        <v>643.09021569440881</v>
      </c>
      <c r="I19" s="129"/>
      <c r="J19" s="130"/>
      <c r="K19" s="131"/>
      <c r="L19" s="132"/>
    </row>
    <row r="20" spans="1:14" ht="16.5" customHeight="1" x14ac:dyDescent="0.2">
      <c r="A20" s="38">
        <v>21</v>
      </c>
      <c r="B20" s="46">
        <f t="shared" si="3"/>
        <v>1448.4635258465166</v>
      </c>
      <c r="C20" s="192">
        <f t="shared" si="4"/>
        <v>794.7</v>
      </c>
      <c r="D20" s="134">
        <f t="shared" si="0"/>
        <v>472.19910942596442</v>
      </c>
      <c r="E20" s="38">
        <v>21</v>
      </c>
      <c r="F20" s="46">
        <f t="shared" si="1"/>
        <v>1883.0025836004716</v>
      </c>
      <c r="G20" s="46">
        <f t="shared" si="2"/>
        <v>613.85884225375378</v>
      </c>
      <c r="I20" s="214" t="s">
        <v>82</v>
      </c>
      <c r="J20" s="214"/>
      <c r="K20" s="214"/>
      <c r="L20" s="214"/>
      <c r="M20" s="214"/>
      <c r="N20" s="150"/>
    </row>
    <row r="21" spans="1:14" ht="16.5" customHeight="1" x14ac:dyDescent="0.2">
      <c r="A21" s="38">
        <v>20</v>
      </c>
      <c r="B21" s="46">
        <f t="shared" si="3"/>
        <v>1379.4890722347777</v>
      </c>
      <c r="C21" s="192">
        <f t="shared" si="4"/>
        <v>756.85714285714289</v>
      </c>
      <c r="D21" s="134">
        <f t="shared" si="0"/>
        <v>449.71343754853757</v>
      </c>
      <c r="E21" s="38">
        <v>20</v>
      </c>
      <c r="F21" s="46">
        <f t="shared" si="1"/>
        <v>1793.3357939052112</v>
      </c>
      <c r="G21" s="46">
        <f t="shared" si="2"/>
        <v>584.62746881309886</v>
      </c>
      <c r="I21" s="214"/>
      <c r="J21" s="214"/>
      <c r="K21" s="214"/>
      <c r="L21" s="214"/>
      <c r="M21" s="214"/>
      <c r="N21" s="150"/>
    </row>
    <row r="22" spans="1:14" ht="16.5" customHeight="1" thickBot="1" x14ac:dyDescent="0.25">
      <c r="A22" s="38">
        <v>19</v>
      </c>
      <c r="B22" s="46">
        <f t="shared" si="3"/>
        <v>1310.5146186230388</v>
      </c>
      <c r="C22" s="192">
        <f t="shared" si="4"/>
        <v>719.01428571428573</v>
      </c>
      <c r="D22" s="134">
        <f t="shared" si="0"/>
        <v>427.22776567111066</v>
      </c>
      <c r="E22" s="38">
        <v>19</v>
      </c>
      <c r="F22" s="46">
        <f t="shared" si="1"/>
        <v>1703.6690042099506</v>
      </c>
      <c r="G22" s="46">
        <f t="shared" si="2"/>
        <v>555.39609537244394</v>
      </c>
    </row>
    <row r="23" spans="1:14" ht="16.5" customHeight="1" x14ac:dyDescent="0.2">
      <c r="A23" s="38">
        <v>18</v>
      </c>
      <c r="B23" s="46">
        <f t="shared" si="3"/>
        <v>1241.5401650112999</v>
      </c>
      <c r="C23" s="192">
        <f t="shared" si="4"/>
        <v>681.17142857142869</v>
      </c>
      <c r="D23" s="134">
        <f t="shared" si="0"/>
        <v>404.74209379368381</v>
      </c>
      <c r="E23" s="38">
        <v>18</v>
      </c>
      <c r="F23" s="46">
        <f t="shared" si="1"/>
        <v>1614.00221451469</v>
      </c>
      <c r="G23" s="46">
        <f t="shared" si="2"/>
        <v>526.1647219317889</v>
      </c>
      <c r="I23" s="229" t="s">
        <v>67</v>
      </c>
      <c r="J23" s="229"/>
      <c r="K23" s="230"/>
      <c r="L23" s="249">
        <v>0</v>
      </c>
    </row>
    <row r="24" spans="1:14" ht="16.5" customHeight="1" thickBot="1" x14ac:dyDescent="0.25">
      <c r="A24" s="38">
        <v>17</v>
      </c>
      <c r="B24" s="46">
        <f t="shared" si="3"/>
        <v>1172.565711399561</v>
      </c>
      <c r="C24" s="192">
        <f t="shared" si="4"/>
        <v>643.32857142857131</v>
      </c>
      <c r="D24" s="134">
        <f t="shared" si="0"/>
        <v>382.2564219162569</v>
      </c>
      <c r="E24" s="38">
        <v>17</v>
      </c>
      <c r="F24" s="46">
        <f t="shared" si="1"/>
        <v>1524.3354248194296</v>
      </c>
      <c r="G24" s="46">
        <f t="shared" si="2"/>
        <v>496.93334849113404</v>
      </c>
      <c r="I24" s="229"/>
      <c r="J24" s="229"/>
      <c r="K24" s="230"/>
      <c r="L24" s="250"/>
    </row>
    <row r="25" spans="1:14" ht="16.5" customHeight="1" thickBot="1" x14ac:dyDescent="0.25">
      <c r="A25" s="38">
        <v>16</v>
      </c>
      <c r="B25" s="46">
        <f t="shared" si="3"/>
        <v>1103.5912577878223</v>
      </c>
      <c r="C25" s="192">
        <f t="shared" si="4"/>
        <v>605.48571428571427</v>
      </c>
      <c r="D25" s="134">
        <f t="shared" si="0"/>
        <v>359.7707500388301</v>
      </c>
      <c r="E25" s="38">
        <v>16</v>
      </c>
      <c r="F25" s="46">
        <f t="shared" si="1"/>
        <v>1434.668635124169</v>
      </c>
      <c r="G25" s="46">
        <f t="shared" si="2"/>
        <v>467.70197505047912</v>
      </c>
    </row>
    <row r="26" spans="1:14" ht="16.5" customHeight="1" x14ac:dyDescent="0.2">
      <c r="A26" s="38">
        <v>15</v>
      </c>
      <c r="B26" s="46">
        <f t="shared" si="3"/>
        <v>1034.6168041760834</v>
      </c>
      <c r="C26" s="192">
        <f t="shared" si="4"/>
        <v>567.64285714285711</v>
      </c>
      <c r="D26" s="134">
        <f t="shared" si="0"/>
        <v>337.28507816140319</v>
      </c>
      <c r="E26" s="38">
        <v>15</v>
      </c>
      <c r="F26" s="46">
        <f t="shared" si="1"/>
        <v>1345.0018454289084</v>
      </c>
      <c r="G26" s="46">
        <f t="shared" si="2"/>
        <v>438.47060160982414</v>
      </c>
      <c r="I26" s="229" t="s">
        <v>72</v>
      </c>
      <c r="J26" s="229"/>
      <c r="K26" s="230"/>
      <c r="L26" s="227">
        <v>0</v>
      </c>
    </row>
    <row r="27" spans="1:14" ht="16.5" customHeight="1" thickBot="1" x14ac:dyDescent="0.25">
      <c r="A27" s="38">
        <v>14</v>
      </c>
      <c r="B27" s="46">
        <f t="shared" si="3"/>
        <v>965.6423505643445</v>
      </c>
      <c r="C27" s="192">
        <f t="shared" si="4"/>
        <v>529.80000000000018</v>
      </c>
      <c r="D27" s="134">
        <f t="shared" si="0"/>
        <v>314.79940628397634</v>
      </c>
      <c r="E27" s="38">
        <v>14</v>
      </c>
      <c r="F27" s="46">
        <f t="shared" si="1"/>
        <v>1255.335055733648</v>
      </c>
      <c r="G27" s="46">
        <f t="shared" si="2"/>
        <v>409.23922816916928</v>
      </c>
      <c r="I27" s="229"/>
      <c r="J27" s="229"/>
      <c r="K27" s="230"/>
      <c r="L27" s="228"/>
    </row>
    <row r="28" spans="1:14" ht="16.5" customHeight="1" thickBot="1" x14ac:dyDescent="0.25">
      <c r="A28" s="38">
        <v>13</v>
      </c>
      <c r="B28" s="46">
        <f t="shared" si="3"/>
        <v>896.66789695260559</v>
      </c>
      <c r="C28" s="192">
        <f t="shared" si="4"/>
        <v>491.95714285714286</v>
      </c>
      <c r="D28" s="134">
        <f t="shared" si="0"/>
        <v>292.31373440654943</v>
      </c>
      <c r="E28" s="38">
        <v>13</v>
      </c>
      <c r="F28" s="46">
        <f t="shared" si="1"/>
        <v>1165.6682660383872</v>
      </c>
      <c r="G28" s="46">
        <f t="shared" si="2"/>
        <v>380.00785472851425</v>
      </c>
    </row>
    <row r="29" spans="1:14" ht="16.5" customHeight="1" x14ac:dyDescent="0.2">
      <c r="A29" s="38">
        <v>12</v>
      </c>
      <c r="B29" s="46">
        <f t="shared" si="3"/>
        <v>827.69344334086668</v>
      </c>
      <c r="C29" s="192">
        <f t="shared" si="4"/>
        <v>454.1142857142857</v>
      </c>
      <c r="D29" s="134">
        <f t="shared" si="0"/>
        <v>269.82806252912252</v>
      </c>
      <c r="E29" s="38">
        <v>12</v>
      </c>
      <c r="F29" s="46">
        <f t="shared" si="1"/>
        <v>1076.0014763431266</v>
      </c>
      <c r="G29" s="46">
        <f t="shared" si="2"/>
        <v>350.77648128785927</v>
      </c>
      <c r="I29" s="231" t="s">
        <v>68</v>
      </c>
      <c r="J29" s="232"/>
      <c r="K29" s="232"/>
      <c r="L29" s="233"/>
    </row>
    <row r="30" spans="1:14" ht="16.5" customHeight="1" thickBot="1" x14ac:dyDescent="0.25">
      <c r="A30" s="38">
        <v>11</v>
      </c>
      <c r="B30" s="46">
        <f t="shared" si="3"/>
        <v>758.71898972912777</v>
      </c>
      <c r="C30" s="192">
        <f t="shared" si="4"/>
        <v>416.27142857142854</v>
      </c>
      <c r="D30" s="134">
        <f t="shared" si="0"/>
        <v>247.34239065169567</v>
      </c>
      <c r="E30" s="38">
        <v>11</v>
      </c>
      <c r="F30" s="46">
        <f t="shared" si="1"/>
        <v>986.33468664786619</v>
      </c>
      <c r="G30" s="46">
        <f t="shared" si="2"/>
        <v>321.54510784720441</v>
      </c>
      <c r="I30" s="234"/>
      <c r="J30" s="235"/>
      <c r="K30" s="235"/>
      <c r="L30" s="236"/>
    </row>
    <row r="31" spans="1:14" ht="16.5" customHeight="1" thickBot="1" x14ac:dyDescent="0.25">
      <c r="A31" s="38">
        <v>10</v>
      </c>
      <c r="B31" s="46">
        <f t="shared" si="3"/>
        <v>689.74453611738886</v>
      </c>
      <c r="C31" s="192">
        <f t="shared" si="4"/>
        <v>378.42857142857144</v>
      </c>
      <c r="D31" s="134">
        <f t="shared" si="0"/>
        <v>224.85671877426878</v>
      </c>
      <c r="E31" s="38">
        <v>10</v>
      </c>
      <c r="F31" s="46">
        <f t="shared" si="1"/>
        <v>896.66789695260559</v>
      </c>
      <c r="G31" s="46">
        <f t="shared" si="2"/>
        <v>292.31373440654943</v>
      </c>
      <c r="I31" s="140" t="s">
        <v>73</v>
      </c>
      <c r="J31" s="138" t="s">
        <v>58</v>
      </c>
      <c r="K31" s="136" t="s">
        <v>74</v>
      </c>
      <c r="L31" s="122" t="s">
        <v>60</v>
      </c>
    </row>
    <row r="32" spans="1:14" ht="16.5" customHeight="1" x14ac:dyDescent="0.2">
      <c r="A32" s="38">
        <v>9</v>
      </c>
      <c r="B32" s="46">
        <f t="shared" si="3"/>
        <v>620.77008250564995</v>
      </c>
      <c r="C32" s="192">
        <f t="shared" si="4"/>
        <v>340.58571428571435</v>
      </c>
      <c r="D32" s="134">
        <f t="shared" si="0"/>
        <v>202.3710468968419</v>
      </c>
      <c r="E32" s="38">
        <v>9</v>
      </c>
      <c r="F32" s="46">
        <f t="shared" si="1"/>
        <v>807.00110725734498</v>
      </c>
      <c r="G32" s="46">
        <f t="shared" si="2"/>
        <v>263.08236096589445</v>
      </c>
      <c r="I32" s="256">
        <f>((L23/37.5*7.5*5)/7)*30*$D$43</f>
        <v>0</v>
      </c>
      <c r="J32" s="258">
        <f>IF(L26&lt;I32,I32,L26)</f>
        <v>0</v>
      </c>
      <c r="K32" s="260">
        <v>32.6</v>
      </c>
      <c r="L32" s="243">
        <f>J32*K32%</f>
        <v>0</v>
      </c>
    </row>
    <row r="33" spans="1:14" ht="16.5" customHeight="1" thickBot="1" x14ac:dyDescent="0.25">
      <c r="A33" s="38">
        <v>8</v>
      </c>
      <c r="B33" s="46">
        <f t="shared" si="3"/>
        <v>551.79562889391116</v>
      </c>
      <c r="C33" s="192">
        <f t="shared" si="4"/>
        <v>302.74285714285713</v>
      </c>
      <c r="D33" s="134">
        <f t="shared" si="0"/>
        <v>179.88537501941505</v>
      </c>
      <c r="E33" s="38">
        <v>8</v>
      </c>
      <c r="F33" s="46">
        <f t="shared" si="1"/>
        <v>717.33431756208449</v>
      </c>
      <c r="G33" s="46">
        <f t="shared" si="2"/>
        <v>233.85098752523956</v>
      </c>
      <c r="I33" s="257"/>
      <c r="J33" s="259"/>
      <c r="K33" s="261"/>
      <c r="L33" s="262"/>
    </row>
    <row r="34" spans="1:14" ht="16.5" customHeight="1" thickBot="1" x14ac:dyDescent="0.25">
      <c r="A34" s="38">
        <v>7</v>
      </c>
      <c r="B34" s="46">
        <f t="shared" si="3"/>
        <v>482.82117528217225</v>
      </c>
      <c r="C34" s="192">
        <f t="shared" si="4"/>
        <v>264.90000000000009</v>
      </c>
      <c r="D34" s="134">
        <f t="shared" si="0"/>
        <v>157.39970314198817</v>
      </c>
      <c r="E34" s="38">
        <v>7</v>
      </c>
      <c r="F34" s="46">
        <f t="shared" si="1"/>
        <v>627.667527866824</v>
      </c>
      <c r="G34" s="46">
        <f t="shared" si="2"/>
        <v>204.61961408458464</v>
      </c>
      <c r="I34" s="251" t="s">
        <v>69</v>
      </c>
      <c r="J34" s="252"/>
      <c r="K34" s="253"/>
      <c r="L34" s="133">
        <f>SUM(L32)</f>
        <v>0</v>
      </c>
    </row>
    <row r="35" spans="1:14" ht="16.5" customHeight="1" x14ac:dyDescent="0.2">
      <c r="A35" s="38">
        <v>6</v>
      </c>
      <c r="B35" s="46">
        <f t="shared" si="3"/>
        <v>413.84672167043334</v>
      </c>
      <c r="C35" s="192">
        <f t="shared" si="4"/>
        <v>227.05714285714285</v>
      </c>
      <c r="D35" s="134">
        <f t="shared" si="0"/>
        <v>134.91403126456126</v>
      </c>
      <c r="E35" s="38">
        <v>6</v>
      </c>
      <c r="F35" s="46">
        <f t="shared" si="1"/>
        <v>538.00073817156328</v>
      </c>
      <c r="G35" s="46">
        <f t="shared" si="2"/>
        <v>175.38824064392963</v>
      </c>
      <c r="N35" s="139"/>
    </row>
    <row r="36" spans="1:14" ht="16.5" customHeight="1" x14ac:dyDescent="0.2">
      <c r="A36" s="38">
        <v>5</v>
      </c>
      <c r="B36" s="46">
        <f t="shared" si="3"/>
        <v>344.87226805869443</v>
      </c>
      <c r="C36" s="192">
        <f t="shared" si="4"/>
        <v>189.21428571428572</v>
      </c>
      <c r="D36" s="134">
        <f t="shared" si="0"/>
        <v>112.42835938713439</v>
      </c>
      <c r="E36" s="38">
        <v>5</v>
      </c>
      <c r="F36" s="46">
        <f t="shared" si="1"/>
        <v>448.33394847630279</v>
      </c>
      <c r="G36" s="46">
        <f t="shared" si="2"/>
        <v>146.15686720327471</v>
      </c>
      <c r="I36" s="254" t="s">
        <v>71</v>
      </c>
      <c r="J36" s="254"/>
      <c r="K36" s="254"/>
      <c r="L36" s="254"/>
      <c r="M36" s="255" t="s">
        <v>70</v>
      </c>
      <c r="N36" s="139"/>
    </row>
    <row r="37" spans="1:14" ht="16.5" customHeight="1" x14ac:dyDescent="0.2">
      <c r="A37" s="38">
        <v>4</v>
      </c>
      <c r="B37" s="46">
        <f t="shared" si="3"/>
        <v>275.89781444695558</v>
      </c>
      <c r="C37" s="192">
        <f t="shared" si="4"/>
        <v>151.37142857142857</v>
      </c>
      <c r="D37" s="134">
        <f t="shared" si="0"/>
        <v>89.942687509707525</v>
      </c>
      <c r="E37" s="38">
        <v>4</v>
      </c>
      <c r="F37" s="46">
        <f t="shared" si="1"/>
        <v>358.66715878104225</v>
      </c>
      <c r="G37" s="46">
        <f t="shared" si="2"/>
        <v>116.92549376261978</v>
      </c>
      <c r="I37" s="254"/>
      <c r="J37" s="254"/>
      <c r="K37" s="254"/>
      <c r="L37" s="254"/>
      <c r="M37" s="255"/>
      <c r="N37" s="139"/>
    </row>
    <row r="38" spans="1:14" ht="16.5" customHeight="1" x14ac:dyDescent="0.2">
      <c r="A38" s="38">
        <v>3</v>
      </c>
      <c r="B38" s="46">
        <f t="shared" si="3"/>
        <v>206.92336083521667</v>
      </c>
      <c r="C38" s="192">
        <f t="shared" si="4"/>
        <v>113.52857142857142</v>
      </c>
      <c r="D38" s="134">
        <f t="shared" si="0"/>
        <v>67.45701563228063</v>
      </c>
      <c r="E38" s="38">
        <v>3</v>
      </c>
      <c r="F38" s="46">
        <f t="shared" si="1"/>
        <v>269.00036908578164</v>
      </c>
      <c r="G38" s="46">
        <f t="shared" si="2"/>
        <v>87.694120321964817</v>
      </c>
    </row>
    <row r="39" spans="1:14" ht="16.5" customHeight="1" x14ac:dyDescent="0.2">
      <c r="A39" s="38">
        <v>2</v>
      </c>
      <c r="B39" s="46">
        <f t="shared" si="3"/>
        <v>137.94890722347779</v>
      </c>
      <c r="C39" s="192">
        <f t="shared" si="4"/>
        <v>75.685714285714283</v>
      </c>
      <c r="D39" s="134">
        <f t="shared" si="0"/>
        <v>44.971343754853763</v>
      </c>
      <c r="E39" s="38">
        <v>2</v>
      </c>
      <c r="F39" s="46">
        <f t="shared" si="1"/>
        <v>179.33357939052112</v>
      </c>
      <c r="G39" s="46">
        <f t="shared" si="2"/>
        <v>58.46274688130989</v>
      </c>
    </row>
    <row r="40" spans="1:14" ht="16.5" customHeight="1" x14ac:dyDescent="0.2">
      <c r="A40" s="39">
        <v>1</v>
      </c>
      <c r="B40" s="201">
        <f t="shared" si="3"/>
        <v>68.974453611738895</v>
      </c>
      <c r="C40" s="202">
        <f t="shared" si="4"/>
        <v>37.842857142857142</v>
      </c>
      <c r="D40" s="203">
        <f t="shared" si="0"/>
        <v>22.485671877426881</v>
      </c>
      <c r="E40" s="39">
        <v>1</v>
      </c>
      <c r="F40" s="201">
        <f t="shared" si="1"/>
        <v>89.666789695260562</v>
      </c>
      <c r="G40" s="201">
        <f t="shared" si="2"/>
        <v>29.231373440654945</v>
      </c>
    </row>
    <row r="41" spans="1:14" x14ac:dyDescent="0.2">
      <c r="D41" s="200"/>
    </row>
    <row r="43" spans="1:14" ht="39" hidden="1" thickBot="1" x14ac:dyDescent="0.25">
      <c r="B43" s="197" t="s">
        <v>14</v>
      </c>
      <c r="C43" s="198"/>
      <c r="D43" s="199">
        <v>8.83</v>
      </c>
      <c r="E43" s="17"/>
    </row>
  </sheetData>
  <sheetProtection algorithmName="SHA-512" hashValue="KEyoIs6kH1MiJLp4PDevldDLnSuNfuKJeSjlqQGQ4rzfDcdjhaA+/pdL3eeAb5iRqZBqKn0rZ7tYm/iqrUC/KA==" saltValue="cp8DxmEVm2g1wkGGs1jwyQ==" spinCount="100000" sheet="1" objects="1" scenarios="1"/>
  <protectedRanges>
    <protectedRange sqref="M36" name="CALCULO RC"/>
    <protectedRange sqref="L8" name="RET TC_1"/>
    <protectedRange sqref="L26" name="RET TC_2"/>
    <protectedRange sqref="L23" name="DED_1"/>
  </protectedRanges>
  <mergeCells count="35">
    <mergeCell ref="I34:K34"/>
    <mergeCell ref="I36:L37"/>
    <mergeCell ref="M36:M37"/>
    <mergeCell ref="I32:I33"/>
    <mergeCell ref="J32:J33"/>
    <mergeCell ref="K32:K33"/>
    <mergeCell ref="L32:L33"/>
    <mergeCell ref="I26:K27"/>
    <mergeCell ref="L23:L24"/>
    <mergeCell ref="I23:K24"/>
    <mergeCell ref="L26:L27"/>
    <mergeCell ref="I29:L30"/>
    <mergeCell ref="J14:J15"/>
    <mergeCell ref="K14:K15"/>
    <mergeCell ref="L16:L17"/>
    <mergeCell ref="K16:K17"/>
    <mergeCell ref="I16:I17"/>
    <mergeCell ref="J16:J17"/>
    <mergeCell ref="L14:L15"/>
    <mergeCell ref="I20:M21"/>
    <mergeCell ref="A1:G1"/>
    <mergeCell ref="I2:K2"/>
    <mergeCell ref="I4:I5"/>
    <mergeCell ref="J4:J5"/>
    <mergeCell ref="K4:K5"/>
    <mergeCell ref="L2:M2"/>
    <mergeCell ref="B2:D2"/>
    <mergeCell ref="F2:G2"/>
    <mergeCell ref="L4:L5"/>
    <mergeCell ref="M4:M5"/>
    <mergeCell ref="I18:J18"/>
    <mergeCell ref="L8:L9"/>
    <mergeCell ref="I8:K9"/>
    <mergeCell ref="I11:L12"/>
    <mergeCell ref="I14:I15"/>
  </mergeCells>
  <phoneticPr fontId="3" type="noConversion"/>
  <hyperlinks>
    <hyperlink ref="M36:M37" r:id="rId1" display="CALCULO RC"/>
  </hyperlinks>
  <pageMargins left="0.94488188976377963" right="0.86614173228346458" top="9.46969696969697E-3" bottom="0.39370078740157483" header="0" footer="0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28" zoomScaleNormal="100" workbookViewId="0">
      <selection activeCell="M68" sqref="M68"/>
    </sheetView>
  </sheetViews>
  <sheetFormatPr baseColWidth="10" defaultColWidth="11.5703125" defaultRowHeight="12.75" x14ac:dyDescent="0.2"/>
  <cols>
    <col min="1" max="1" width="18.42578125" style="33" customWidth="1"/>
    <col min="2" max="2" width="24.85546875" style="50" customWidth="1"/>
    <col min="3" max="3" width="16.7109375" style="51" hidden="1" customWidth="1"/>
    <col min="4" max="4" width="18.42578125" style="52" customWidth="1"/>
    <col min="5" max="5" width="18.42578125" style="8" customWidth="1"/>
    <col min="6" max="6" width="24.85546875" style="49" customWidth="1"/>
    <col min="7" max="7" width="18.42578125" style="49" customWidth="1"/>
    <col min="8" max="8" width="11.5703125" style="8"/>
    <col min="9" max="9" width="19.140625" style="19" customWidth="1"/>
    <col min="10" max="10" width="17" style="8" bestFit="1" customWidth="1"/>
    <col min="11" max="11" width="19.85546875" style="8" bestFit="1" customWidth="1"/>
    <col min="12" max="12" width="16.140625" style="8" bestFit="1" customWidth="1"/>
    <col min="13" max="13" width="15.140625" style="8" customWidth="1"/>
    <col min="14" max="16384" width="11.5703125" style="8"/>
  </cols>
  <sheetData>
    <row r="1" spans="1:14" ht="65.25" customHeight="1" x14ac:dyDescent="0.2">
      <c r="A1" s="215" t="s">
        <v>95</v>
      </c>
      <c r="B1" s="216"/>
      <c r="C1" s="216"/>
      <c r="D1" s="216"/>
      <c r="E1" s="216"/>
      <c r="F1" s="216"/>
      <c r="G1" s="216"/>
    </row>
    <row r="2" spans="1:14" s="47" customFormat="1" ht="24" customHeight="1" x14ac:dyDescent="0.2">
      <c r="A2" s="48"/>
      <c r="B2" s="263" t="s">
        <v>47</v>
      </c>
      <c r="C2" s="263"/>
      <c r="D2" s="264"/>
      <c r="E2" s="57"/>
      <c r="F2" s="265" t="s">
        <v>48</v>
      </c>
      <c r="G2" s="266"/>
      <c r="I2" s="217" t="s">
        <v>53</v>
      </c>
      <c r="J2" s="217"/>
      <c r="K2" s="217"/>
      <c r="L2" s="217" t="s">
        <v>57</v>
      </c>
      <c r="M2" s="217"/>
      <c r="N2" s="36"/>
    </row>
    <row r="3" spans="1:14" s="27" customFormat="1" ht="38.25" x14ac:dyDescent="0.2">
      <c r="A3" s="40" t="s">
        <v>45</v>
      </c>
      <c r="B3" s="61" t="s">
        <v>46</v>
      </c>
      <c r="C3" s="62" t="s">
        <v>15</v>
      </c>
      <c r="D3" s="63" t="s">
        <v>49</v>
      </c>
      <c r="E3" s="40" t="s">
        <v>45</v>
      </c>
      <c r="F3" s="64" t="s">
        <v>46</v>
      </c>
      <c r="G3" s="63" t="s">
        <v>50</v>
      </c>
      <c r="I3" s="127" t="s">
        <v>52</v>
      </c>
      <c r="J3" s="127" t="s">
        <v>63</v>
      </c>
      <c r="K3" s="127" t="s">
        <v>64</v>
      </c>
      <c r="L3" s="128" t="s">
        <v>55</v>
      </c>
      <c r="M3" s="127" t="s">
        <v>56</v>
      </c>
    </row>
    <row r="4" spans="1:14" ht="15" customHeight="1" x14ac:dyDescent="0.2">
      <c r="A4" s="58">
        <v>37.5</v>
      </c>
      <c r="B4" s="59">
        <f>PARAMETROS!B23</f>
        <v>2124.6595085758854</v>
      </c>
      <c r="C4" s="60"/>
      <c r="D4" s="59"/>
      <c r="E4" s="58">
        <v>37.5</v>
      </c>
      <c r="F4" s="59">
        <f>PARAMETROS!C23</f>
        <v>2762.0573611486511</v>
      </c>
      <c r="G4" s="59">
        <f>IF(F4&gt;=$K$4,$K$4*$K$18%,F4*$K$18%)</f>
        <v>900.43069973446029</v>
      </c>
      <c r="I4" s="218">
        <v>1</v>
      </c>
      <c r="J4" s="267">
        <v>1466.4</v>
      </c>
      <c r="K4" s="267">
        <v>4070.1</v>
      </c>
      <c r="L4" s="268">
        <v>1050</v>
      </c>
      <c r="M4" s="268">
        <v>4070.1</v>
      </c>
    </row>
    <row r="5" spans="1:14" ht="15" customHeight="1" x14ac:dyDescent="0.2">
      <c r="A5" s="38">
        <v>36</v>
      </c>
      <c r="B5" s="53">
        <f>PRODUCT(B$4,A5)/A$4</f>
        <v>2039.6731282328501</v>
      </c>
      <c r="C5" s="54">
        <f t="shared" ref="C5:C40" si="0">(A5/$A$4*7.5*5)/7*30*$C$43</f>
        <v>1362.3428571428574</v>
      </c>
      <c r="D5" s="53">
        <f>IF(B5&lt;C5,C5*$K$18%,B5*$K$18%)</f>
        <v>664.93343980390921</v>
      </c>
      <c r="E5" s="38">
        <v>36</v>
      </c>
      <c r="F5" s="53">
        <f>PRODUCT(F$4,E5)/E$4</f>
        <v>2651.575066702705</v>
      </c>
      <c r="G5" s="59">
        <f t="shared" ref="G5:G40" si="1">IF(F5&gt;=$K$4,$K$4*$K$18%,F5*$K$18%)</f>
        <v>864.41347174508189</v>
      </c>
      <c r="I5" s="218"/>
      <c r="J5" s="267"/>
      <c r="K5" s="267"/>
      <c r="L5" s="268"/>
      <c r="M5" s="268"/>
    </row>
    <row r="6" spans="1:14" ht="15" customHeight="1" x14ac:dyDescent="0.2">
      <c r="A6" s="38">
        <v>35</v>
      </c>
      <c r="B6" s="53">
        <f>PRODUCT(B$4,A6)/A$4</f>
        <v>1983.015541337493</v>
      </c>
      <c r="C6" s="54">
        <f t="shared" si="0"/>
        <v>1324.5</v>
      </c>
      <c r="D6" s="53">
        <f t="shared" ref="D6:D40" si="2">IF(B6&lt;C6,C6*$K$18%,B6*$K$18%)</f>
        <v>646.46306647602273</v>
      </c>
      <c r="E6" s="38">
        <v>35</v>
      </c>
      <c r="F6" s="53">
        <f>PRODUCT(F$4,E6)/E$4</f>
        <v>2577.9202037387413</v>
      </c>
      <c r="G6" s="59">
        <f t="shared" si="1"/>
        <v>840.40198641882967</v>
      </c>
      <c r="I6" s="35"/>
      <c r="L6" s="118"/>
    </row>
    <row r="7" spans="1:14" ht="15" customHeight="1" thickBot="1" x14ac:dyDescent="0.25">
      <c r="A7" s="38">
        <v>34</v>
      </c>
      <c r="B7" s="53">
        <f t="shared" ref="B7:B40" si="3">PRODUCT(B$4,A7)/A$4</f>
        <v>1926.3579544421364</v>
      </c>
      <c r="C7" s="54">
        <f t="shared" si="0"/>
        <v>1286.6571428571426</v>
      </c>
      <c r="D7" s="53">
        <f t="shared" si="2"/>
        <v>627.99269314813648</v>
      </c>
      <c r="E7" s="38">
        <v>34</v>
      </c>
      <c r="F7" s="53">
        <f t="shared" ref="F7:F40" si="4">PRODUCT(F$4,E7)/E$4</f>
        <v>2504.2653407747771</v>
      </c>
      <c r="G7" s="59">
        <f t="shared" si="1"/>
        <v>816.39050109257732</v>
      </c>
      <c r="I7" s="35"/>
      <c r="J7" s="19"/>
      <c r="L7" s="118"/>
    </row>
    <row r="8" spans="1:14" ht="15" customHeight="1" x14ac:dyDescent="0.2">
      <c r="A8" s="38">
        <v>33</v>
      </c>
      <c r="B8" s="53">
        <f t="shared" si="3"/>
        <v>1869.7003675467793</v>
      </c>
      <c r="C8" s="54">
        <f t="shared" si="0"/>
        <v>1248.8142857142859</v>
      </c>
      <c r="D8" s="53">
        <f t="shared" si="2"/>
        <v>609.52231982025012</v>
      </c>
      <c r="E8" s="38">
        <v>33</v>
      </c>
      <c r="F8" s="53">
        <f t="shared" si="4"/>
        <v>2430.6104778108129</v>
      </c>
      <c r="G8" s="59">
        <f t="shared" si="1"/>
        <v>792.37901576632498</v>
      </c>
      <c r="I8" s="229" t="s">
        <v>104</v>
      </c>
      <c r="J8" s="229"/>
      <c r="K8" s="230"/>
      <c r="L8" s="227">
        <v>0</v>
      </c>
    </row>
    <row r="9" spans="1:14" ht="15" customHeight="1" thickBot="1" x14ac:dyDescent="0.25">
      <c r="A9" s="38">
        <v>32</v>
      </c>
      <c r="B9" s="53">
        <f t="shared" si="3"/>
        <v>1813.0427806514222</v>
      </c>
      <c r="C9" s="54">
        <f t="shared" si="0"/>
        <v>1210.9714285714285</v>
      </c>
      <c r="D9" s="53">
        <f t="shared" si="2"/>
        <v>591.05194649236364</v>
      </c>
      <c r="E9" s="38">
        <v>32</v>
      </c>
      <c r="F9" s="53">
        <f t="shared" si="4"/>
        <v>2356.9556148468491</v>
      </c>
      <c r="G9" s="59">
        <f t="shared" si="1"/>
        <v>768.36753044007287</v>
      </c>
      <c r="I9" s="229"/>
      <c r="J9" s="229"/>
      <c r="K9" s="230"/>
      <c r="L9" s="228"/>
    </row>
    <row r="10" spans="1:14" ht="15" customHeight="1" thickBot="1" x14ac:dyDescent="0.25">
      <c r="A10" s="38">
        <v>31</v>
      </c>
      <c r="B10" s="53">
        <f t="shared" si="3"/>
        <v>1756.3851937560651</v>
      </c>
      <c r="C10" s="54">
        <f t="shared" si="0"/>
        <v>1173.1285714285714</v>
      </c>
      <c r="D10" s="53">
        <f t="shared" si="2"/>
        <v>572.58157316447728</v>
      </c>
      <c r="E10" s="38">
        <v>31</v>
      </c>
      <c r="F10" s="53">
        <f t="shared" si="4"/>
        <v>2283.3007518828849</v>
      </c>
      <c r="G10" s="59">
        <f t="shared" si="1"/>
        <v>744.35604511382053</v>
      </c>
      <c r="I10" s="123"/>
      <c r="J10" s="124"/>
      <c r="K10" s="125"/>
      <c r="L10" s="126"/>
    </row>
    <row r="11" spans="1:14" ht="15" customHeight="1" x14ac:dyDescent="0.2">
      <c r="A11" s="38">
        <v>30</v>
      </c>
      <c r="B11" s="53">
        <f t="shared" si="3"/>
        <v>1699.7276068607084</v>
      </c>
      <c r="C11" s="54">
        <f t="shared" si="0"/>
        <v>1135.2857142857142</v>
      </c>
      <c r="D11" s="53">
        <f t="shared" si="2"/>
        <v>554.11119983659091</v>
      </c>
      <c r="E11" s="38">
        <v>30</v>
      </c>
      <c r="F11" s="53">
        <f t="shared" si="4"/>
        <v>2209.6458889189207</v>
      </c>
      <c r="G11" s="59">
        <f t="shared" si="1"/>
        <v>720.34455978756819</v>
      </c>
      <c r="I11" s="231" t="s">
        <v>65</v>
      </c>
      <c r="J11" s="232"/>
      <c r="K11" s="232"/>
      <c r="L11" s="233"/>
    </row>
    <row r="12" spans="1:14" ht="15" customHeight="1" thickBot="1" x14ac:dyDescent="0.25">
      <c r="A12" s="38">
        <v>29</v>
      </c>
      <c r="B12" s="53">
        <f t="shared" si="3"/>
        <v>1643.0700199653515</v>
      </c>
      <c r="C12" s="54">
        <f t="shared" si="0"/>
        <v>1097.4428571428573</v>
      </c>
      <c r="D12" s="53">
        <f t="shared" si="2"/>
        <v>535.64082650870466</v>
      </c>
      <c r="E12" s="38">
        <v>29</v>
      </c>
      <c r="F12" s="53">
        <f t="shared" si="4"/>
        <v>2135.991025954957</v>
      </c>
      <c r="G12" s="59">
        <f t="shared" si="1"/>
        <v>696.33307446131596</v>
      </c>
      <c r="I12" s="234"/>
      <c r="J12" s="235"/>
      <c r="K12" s="235"/>
      <c r="L12" s="236"/>
    </row>
    <row r="13" spans="1:14" ht="15" customHeight="1" thickBot="1" x14ac:dyDescent="0.25">
      <c r="A13" s="38">
        <v>28</v>
      </c>
      <c r="B13" s="53">
        <f t="shared" si="3"/>
        <v>1586.4124330699944</v>
      </c>
      <c r="C13" s="54">
        <f t="shared" si="0"/>
        <v>1059.6000000000004</v>
      </c>
      <c r="D13" s="53">
        <f t="shared" si="2"/>
        <v>517.17045318081819</v>
      </c>
      <c r="E13" s="38">
        <v>28</v>
      </c>
      <c r="F13" s="53">
        <f t="shared" si="4"/>
        <v>2062.3361629909928</v>
      </c>
      <c r="G13" s="59">
        <f t="shared" si="1"/>
        <v>672.32158913506362</v>
      </c>
      <c r="I13" s="120"/>
      <c r="J13" s="121" t="s">
        <v>58</v>
      </c>
      <c r="K13" s="136" t="s">
        <v>59</v>
      </c>
      <c r="L13" s="122" t="s">
        <v>60</v>
      </c>
    </row>
    <row r="14" spans="1:14" ht="15" customHeight="1" x14ac:dyDescent="0.2">
      <c r="A14" s="38">
        <v>27</v>
      </c>
      <c r="B14" s="53">
        <f t="shared" si="3"/>
        <v>1529.7548461746374</v>
      </c>
      <c r="C14" s="54">
        <f t="shared" si="0"/>
        <v>1021.7571428571429</v>
      </c>
      <c r="D14" s="53">
        <f t="shared" si="2"/>
        <v>498.70007985293182</v>
      </c>
      <c r="E14" s="38">
        <v>27</v>
      </c>
      <c r="F14" s="53">
        <f t="shared" si="4"/>
        <v>1988.681300027029</v>
      </c>
      <c r="G14" s="59">
        <f t="shared" si="1"/>
        <v>648.3101038088115</v>
      </c>
      <c r="I14" s="237" t="s">
        <v>61</v>
      </c>
      <c r="J14" s="239">
        <f>IF(L8&gt;=J4,L8,J4)</f>
        <v>1466.4</v>
      </c>
      <c r="K14" s="241">
        <v>23.6</v>
      </c>
      <c r="L14" s="247">
        <f>J14*K14%</f>
        <v>346.07040000000006</v>
      </c>
    </row>
    <row r="15" spans="1:14" ht="15" customHeight="1" thickBot="1" x14ac:dyDescent="0.25">
      <c r="A15" s="38">
        <v>26</v>
      </c>
      <c r="B15" s="53">
        <f t="shared" si="3"/>
        <v>1473.0972592792805</v>
      </c>
      <c r="C15" s="54">
        <f t="shared" si="0"/>
        <v>983.91428571428571</v>
      </c>
      <c r="D15" s="53">
        <f t="shared" si="2"/>
        <v>480.22970652504546</v>
      </c>
      <c r="E15" s="38">
        <v>26</v>
      </c>
      <c r="F15" s="53">
        <f t="shared" si="4"/>
        <v>1915.0264370630646</v>
      </c>
      <c r="G15" s="59">
        <f t="shared" si="1"/>
        <v>624.29861848255905</v>
      </c>
      <c r="I15" s="238"/>
      <c r="J15" s="240"/>
      <c r="K15" s="242"/>
      <c r="L15" s="248"/>
    </row>
    <row r="16" spans="1:14" ht="15" customHeight="1" x14ac:dyDescent="0.2">
      <c r="A16" s="38">
        <v>25</v>
      </c>
      <c r="B16" s="53">
        <f t="shared" si="3"/>
        <v>1416.4396723839236</v>
      </c>
      <c r="C16" s="54">
        <f t="shared" si="0"/>
        <v>946.07142857142867</v>
      </c>
      <c r="D16" s="53">
        <f t="shared" si="2"/>
        <v>461.75933319715909</v>
      </c>
      <c r="E16" s="38">
        <v>25</v>
      </c>
      <c r="F16" s="53">
        <f t="shared" si="4"/>
        <v>1841.3715740991008</v>
      </c>
      <c r="G16" s="59">
        <f t="shared" si="1"/>
        <v>600.28713315630694</v>
      </c>
      <c r="I16" s="245" t="s">
        <v>62</v>
      </c>
      <c r="J16" s="239">
        <f>IF(L8&gt;=L4,L8,L4)</f>
        <v>1050</v>
      </c>
      <c r="K16" s="241">
        <v>9</v>
      </c>
      <c r="L16" s="243">
        <f>J16*K16%</f>
        <v>94.5</v>
      </c>
    </row>
    <row r="17" spans="1:14" ht="15" customHeight="1" thickBot="1" x14ac:dyDescent="0.25">
      <c r="A17" s="38">
        <v>24</v>
      </c>
      <c r="B17" s="53">
        <f t="shared" si="3"/>
        <v>1359.7820854885667</v>
      </c>
      <c r="C17" s="54">
        <f t="shared" si="0"/>
        <v>908.2285714285714</v>
      </c>
      <c r="D17" s="53">
        <f t="shared" si="2"/>
        <v>443.28895986927279</v>
      </c>
      <c r="E17" s="38">
        <v>24</v>
      </c>
      <c r="F17" s="53">
        <f t="shared" si="4"/>
        <v>1767.7167111351368</v>
      </c>
      <c r="G17" s="59">
        <f t="shared" si="1"/>
        <v>576.2756478300546</v>
      </c>
      <c r="I17" s="246"/>
      <c r="J17" s="240"/>
      <c r="K17" s="242">
        <v>0.2</v>
      </c>
      <c r="L17" s="244"/>
    </row>
    <row r="18" spans="1:14" ht="15" customHeight="1" thickBot="1" x14ac:dyDescent="0.25">
      <c r="A18" s="38">
        <v>23</v>
      </c>
      <c r="B18" s="53">
        <f t="shared" si="3"/>
        <v>1303.1244985932096</v>
      </c>
      <c r="C18" s="54">
        <f t="shared" si="0"/>
        <v>870.38571428571424</v>
      </c>
      <c r="D18" s="53">
        <f t="shared" si="2"/>
        <v>424.81858654138637</v>
      </c>
      <c r="E18" s="38">
        <v>23</v>
      </c>
      <c r="F18" s="53">
        <f t="shared" si="4"/>
        <v>1694.0618481711726</v>
      </c>
      <c r="G18" s="59">
        <f t="shared" si="1"/>
        <v>552.26416250380225</v>
      </c>
      <c r="I18" s="225" t="s">
        <v>66</v>
      </c>
      <c r="J18" s="226"/>
      <c r="K18" s="137">
        <f>(K14+K16)</f>
        <v>32.6</v>
      </c>
      <c r="L18" s="133">
        <f>SUM(L14:L17)</f>
        <v>440.57040000000006</v>
      </c>
    </row>
    <row r="19" spans="1:14" ht="15" customHeight="1" x14ac:dyDescent="0.2">
      <c r="A19" s="38">
        <v>22</v>
      </c>
      <c r="B19" s="53">
        <f t="shared" si="3"/>
        <v>1246.4669116978528</v>
      </c>
      <c r="C19" s="54">
        <f t="shared" si="0"/>
        <v>832.54285714285709</v>
      </c>
      <c r="D19" s="53">
        <f t="shared" si="2"/>
        <v>406.3482132135</v>
      </c>
      <c r="E19" s="38">
        <v>22</v>
      </c>
      <c r="F19" s="53">
        <f t="shared" si="4"/>
        <v>1620.4069852072087</v>
      </c>
      <c r="G19" s="59">
        <f t="shared" si="1"/>
        <v>528.25267717755003</v>
      </c>
      <c r="I19" s="129"/>
      <c r="J19" s="130"/>
      <c r="K19" s="131"/>
      <c r="L19" s="132"/>
    </row>
    <row r="20" spans="1:14" ht="15" customHeight="1" x14ac:dyDescent="0.2">
      <c r="A20" s="38">
        <v>21</v>
      </c>
      <c r="B20" s="53">
        <f t="shared" si="3"/>
        <v>1189.8093248024959</v>
      </c>
      <c r="C20" s="54">
        <f t="shared" si="0"/>
        <v>794.7</v>
      </c>
      <c r="D20" s="53">
        <f t="shared" si="2"/>
        <v>387.8778398856137</v>
      </c>
      <c r="E20" s="38">
        <v>21</v>
      </c>
      <c r="F20" s="53">
        <f t="shared" si="4"/>
        <v>1546.7521222432447</v>
      </c>
      <c r="G20" s="59">
        <f t="shared" si="1"/>
        <v>504.2411918512978</v>
      </c>
      <c r="I20" s="269" t="s">
        <v>82</v>
      </c>
      <c r="J20" s="269"/>
      <c r="K20" s="269"/>
      <c r="L20" s="269"/>
      <c r="M20" s="269"/>
      <c r="N20" s="269"/>
    </row>
    <row r="21" spans="1:14" ht="15" customHeight="1" x14ac:dyDescent="0.2">
      <c r="A21" s="38">
        <v>20</v>
      </c>
      <c r="B21" s="53">
        <f t="shared" si="3"/>
        <v>1133.1517379071388</v>
      </c>
      <c r="C21" s="54">
        <f t="shared" si="0"/>
        <v>756.85714285714289</v>
      </c>
      <c r="D21" s="53">
        <f t="shared" si="2"/>
        <v>369.40746655772728</v>
      </c>
      <c r="E21" s="38">
        <v>20</v>
      </c>
      <c r="F21" s="53">
        <f t="shared" si="4"/>
        <v>1473.0972592792805</v>
      </c>
      <c r="G21" s="59">
        <f t="shared" si="1"/>
        <v>480.22970652504546</v>
      </c>
      <c r="I21" s="269"/>
      <c r="J21" s="269"/>
      <c r="K21" s="269"/>
      <c r="L21" s="269"/>
      <c r="M21" s="269"/>
      <c r="N21" s="269"/>
    </row>
    <row r="22" spans="1:14" ht="15" customHeight="1" thickBot="1" x14ac:dyDescent="0.25">
      <c r="A22" s="38">
        <v>19</v>
      </c>
      <c r="B22" s="53">
        <f t="shared" si="3"/>
        <v>1076.4941510117819</v>
      </c>
      <c r="C22" s="54">
        <f t="shared" si="0"/>
        <v>719.01428571428573</v>
      </c>
      <c r="D22" s="53">
        <f t="shared" si="2"/>
        <v>350.93709322984091</v>
      </c>
      <c r="E22" s="38">
        <v>19</v>
      </c>
      <c r="F22" s="53">
        <f t="shared" si="4"/>
        <v>1399.4423963153167</v>
      </c>
      <c r="G22" s="59">
        <f t="shared" si="1"/>
        <v>456.21822119879329</v>
      </c>
      <c r="I22" s="35"/>
      <c r="J22" s="19"/>
      <c r="L22" s="118"/>
    </row>
    <row r="23" spans="1:14" ht="15" customHeight="1" x14ac:dyDescent="0.2">
      <c r="A23" s="38">
        <v>18</v>
      </c>
      <c r="B23" s="53">
        <f t="shared" si="3"/>
        <v>1019.8365641164251</v>
      </c>
      <c r="C23" s="54">
        <f t="shared" si="0"/>
        <v>681.17142857142869</v>
      </c>
      <c r="D23" s="53">
        <f t="shared" si="2"/>
        <v>332.4667199019546</v>
      </c>
      <c r="E23" s="38">
        <v>18</v>
      </c>
      <c r="F23" s="53">
        <f t="shared" si="4"/>
        <v>1325.7875333513525</v>
      </c>
      <c r="G23" s="59">
        <f t="shared" si="1"/>
        <v>432.20673587254095</v>
      </c>
      <c r="I23" s="229" t="s">
        <v>67</v>
      </c>
      <c r="J23" s="229"/>
      <c r="K23" s="230"/>
      <c r="L23" s="249">
        <v>0</v>
      </c>
    </row>
    <row r="24" spans="1:14" ht="15" customHeight="1" thickBot="1" x14ac:dyDescent="0.25">
      <c r="A24" s="38">
        <v>17</v>
      </c>
      <c r="B24" s="53">
        <f t="shared" si="3"/>
        <v>963.17897722106818</v>
      </c>
      <c r="C24" s="54">
        <f t="shared" si="0"/>
        <v>643.32857142857131</v>
      </c>
      <c r="D24" s="53">
        <f t="shared" si="2"/>
        <v>313.99634657406824</v>
      </c>
      <c r="E24" s="38">
        <v>17</v>
      </c>
      <c r="F24" s="53">
        <f t="shared" si="4"/>
        <v>1252.1326703873885</v>
      </c>
      <c r="G24" s="59">
        <f t="shared" si="1"/>
        <v>408.19525054628866</v>
      </c>
      <c r="I24" s="229"/>
      <c r="J24" s="229"/>
      <c r="K24" s="230"/>
      <c r="L24" s="250"/>
    </row>
    <row r="25" spans="1:14" ht="15" customHeight="1" thickBot="1" x14ac:dyDescent="0.25">
      <c r="A25" s="38">
        <v>16</v>
      </c>
      <c r="B25" s="53">
        <f t="shared" si="3"/>
        <v>906.52139032571108</v>
      </c>
      <c r="C25" s="54">
        <f t="shared" si="0"/>
        <v>605.48571428571427</v>
      </c>
      <c r="D25" s="53">
        <f t="shared" si="2"/>
        <v>295.52597324618182</v>
      </c>
      <c r="E25" s="38">
        <v>16</v>
      </c>
      <c r="F25" s="53">
        <f t="shared" si="4"/>
        <v>1178.4778074234246</v>
      </c>
      <c r="G25" s="59">
        <f t="shared" si="1"/>
        <v>384.18376522003643</v>
      </c>
      <c r="I25" s="35"/>
      <c r="J25" s="19"/>
      <c r="L25" s="118"/>
    </row>
    <row r="26" spans="1:14" ht="15" customHeight="1" x14ac:dyDescent="0.2">
      <c r="A26" s="38">
        <v>15</v>
      </c>
      <c r="B26" s="53">
        <f t="shared" si="3"/>
        <v>849.86380343035421</v>
      </c>
      <c r="C26" s="54">
        <f t="shared" si="0"/>
        <v>567.64285714285711</v>
      </c>
      <c r="D26" s="53">
        <f t="shared" si="2"/>
        <v>277.05559991829546</v>
      </c>
      <c r="E26" s="38">
        <v>15</v>
      </c>
      <c r="F26" s="53">
        <f t="shared" si="4"/>
        <v>1104.8229444594604</v>
      </c>
      <c r="G26" s="59">
        <f t="shared" si="1"/>
        <v>360.17227989378409</v>
      </c>
      <c r="I26" s="229" t="s">
        <v>72</v>
      </c>
      <c r="J26" s="229"/>
      <c r="K26" s="230"/>
      <c r="L26" s="227">
        <v>0</v>
      </c>
    </row>
    <row r="27" spans="1:14" ht="15" customHeight="1" thickBot="1" x14ac:dyDescent="0.25">
      <c r="A27" s="38">
        <v>14</v>
      </c>
      <c r="B27" s="53">
        <f t="shared" si="3"/>
        <v>793.20621653499722</v>
      </c>
      <c r="C27" s="54">
        <f t="shared" si="0"/>
        <v>529.80000000000018</v>
      </c>
      <c r="D27" s="53">
        <f t="shared" si="2"/>
        <v>258.58522659040909</v>
      </c>
      <c r="E27" s="38">
        <v>14</v>
      </c>
      <c r="F27" s="53">
        <f t="shared" si="4"/>
        <v>1031.1680814954964</v>
      </c>
      <c r="G27" s="59">
        <f t="shared" si="1"/>
        <v>336.16079456753181</v>
      </c>
      <c r="I27" s="229"/>
      <c r="J27" s="229"/>
      <c r="K27" s="230"/>
      <c r="L27" s="228"/>
    </row>
    <row r="28" spans="1:14" ht="15" customHeight="1" thickBot="1" x14ac:dyDescent="0.25">
      <c r="A28" s="38">
        <v>13</v>
      </c>
      <c r="B28" s="53">
        <f t="shared" si="3"/>
        <v>736.54862963964024</v>
      </c>
      <c r="C28" s="54">
        <f t="shared" si="0"/>
        <v>491.95714285714286</v>
      </c>
      <c r="D28" s="53">
        <f t="shared" si="2"/>
        <v>240.11485326252273</v>
      </c>
      <c r="E28" s="38">
        <v>13</v>
      </c>
      <c r="F28" s="53">
        <f t="shared" si="4"/>
        <v>957.51321853153229</v>
      </c>
      <c r="G28" s="59">
        <f t="shared" si="1"/>
        <v>312.14930924127952</v>
      </c>
      <c r="I28" s="35"/>
      <c r="J28" s="19"/>
      <c r="L28" s="118"/>
    </row>
    <row r="29" spans="1:14" ht="15" customHeight="1" x14ac:dyDescent="0.2">
      <c r="A29" s="38">
        <v>12</v>
      </c>
      <c r="B29" s="53">
        <f t="shared" si="3"/>
        <v>679.89104274428337</v>
      </c>
      <c r="C29" s="54">
        <f t="shared" si="0"/>
        <v>454.1142857142857</v>
      </c>
      <c r="D29" s="53">
        <f t="shared" si="2"/>
        <v>221.64447993463639</v>
      </c>
      <c r="E29" s="38">
        <v>12</v>
      </c>
      <c r="F29" s="53">
        <f t="shared" si="4"/>
        <v>883.85835556756842</v>
      </c>
      <c r="G29" s="59">
        <f t="shared" si="1"/>
        <v>288.1378239150273</v>
      </c>
      <c r="I29" s="231" t="s">
        <v>68</v>
      </c>
      <c r="J29" s="232"/>
      <c r="K29" s="232"/>
      <c r="L29" s="233"/>
    </row>
    <row r="30" spans="1:14" ht="15" customHeight="1" thickBot="1" x14ac:dyDescent="0.25">
      <c r="A30" s="38">
        <v>11</v>
      </c>
      <c r="B30" s="53">
        <f t="shared" si="3"/>
        <v>623.23345584892638</v>
      </c>
      <c r="C30" s="54">
        <f t="shared" si="0"/>
        <v>416.27142857142854</v>
      </c>
      <c r="D30" s="53">
        <f t="shared" si="2"/>
        <v>203.17410660675</v>
      </c>
      <c r="E30" s="38">
        <v>11</v>
      </c>
      <c r="F30" s="53">
        <f t="shared" si="4"/>
        <v>810.20349260360433</v>
      </c>
      <c r="G30" s="59">
        <f t="shared" si="1"/>
        <v>264.12633858877501</v>
      </c>
      <c r="I30" s="234"/>
      <c r="J30" s="235"/>
      <c r="K30" s="235"/>
      <c r="L30" s="236"/>
    </row>
    <row r="31" spans="1:14" ht="15" customHeight="1" thickBot="1" x14ac:dyDescent="0.25">
      <c r="A31" s="38">
        <v>10</v>
      </c>
      <c r="B31" s="53">
        <f t="shared" si="3"/>
        <v>566.5758689535694</v>
      </c>
      <c r="C31" s="54">
        <f t="shared" si="0"/>
        <v>378.42857142857144</v>
      </c>
      <c r="D31" s="53">
        <f t="shared" si="2"/>
        <v>184.70373327886364</v>
      </c>
      <c r="E31" s="38">
        <v>10</v>
      </c>
      <c r="F31" s="53">
        <f t="shared" si="4"/>
        <v>736.54862963964024</v>
      </c>
      <c r="G31" s="59">
        <f t="shared" si="1"/>
        <v>240.11485326252273</v>
      </c>
      <c r="I31" s="140" t="s">
        <v>73</v>
      </c>
      <c r="J31" s="138" t="s">
        <v>58</v>
      </c>
      <c r="K31" s="136" t="s">
        <v>74</v>
      </c>
      <c r="L31" s="122" t="s">
        <v>60</v>
      </c>
    </row>
    <row r="32" spans="1:14" ht="15" customHeight="1" x14ac:dyDescent="0.2">
      <c r="A32" s="38">
        <v>9</v>
      </c>
      <c r="B32" s="53">
        <f t="shared" si="3"/>
        <v>509.91828205821253</v>
      </c>
      <c r="C32" s="54">
        <f t="shared" si="0"/>
        <v>340.58571428571435</v>
      </c>
      <c r="D32" s="53">
        <f t="shared" si="2"/>
        <v>166.2333599509773</v>
      </c>
      <c r="E32" s="38">
        <v>9</v>
      </c>
      <c r="F32" s="53">
        <f t="shared" si="4"/>
        <v>662.89376667567626</v>
      </c>
      <c r="G32" s="59">
        <f t="shared" si="1"/>
        <v>216.10336793627047</v>
      </c>
      <c r="I32" s="256">
        <f>((L23/37.5*7.5*5)/7)*30*$C$43</f>
        <v>0</v>
      </c>
      <c r="J32" s="258">
        <f>IF(L26&lt;I32,I32,L26)</f>
        <v>0</v>
      </c>
      <c r="K32" s="260">
        <v>32.6</v>
      </c>
      <c r="L32" s="243">
        <f>J32*K32%</f>
        <v>0</v>
      </c>
    </row>
    <row r="33" spans="1:14" ht="15" customHeight="1" thickBot="1" x14ac:dyDescent="0.25">
      <c r="A33" s="38">
        <v>8</v>
      </c>
      <c r="B33" s="53">
        <f t="shared" si="3"/>
        <v>453.26069516285554</v>
      </c>
      <c r="C33" s="54">
        <f t="shared" si="0"/>
        <v>302.74285714285713</v>
      </c>
      <c r="D33" s="53">
        <f t="shared" si="2"/>
        <v>147.76298662309091</v>
      </c>
      <c r="E33" s="38">
        <v>8</v>
      </c>
      <c r="F33" s="53">
        <f t="shared" si="4"/>
        <v>589.23890371171228</v>
      </c>
      <c r="G33" s="59">
        <f t="shared" si="1"/>
        <v>192.09188261001822</v>
      </c>
      <c r="I33" s="257"/>
      <c r="J33" s="259"/>
      <c r="K33" s="261"/>
      <c r="L33" s="262"/>
    </row>
    <row r="34" spans="1:14" ht="15" customHeight="1" thickBot="1" x14ac:dyDescent="0.25">
      <c r="A34" s="38">
        <v>7</v>
      </c>
      <c r="B34" s="53">
        <f t="shared" si="3"/>
        <v>396.60310826749861</v>
      </c>
      <c r="C34" s="54">
        <f t="shared" si="0"/>
        <v>264.90000000000009</v>
      </c>
      <c r="D34" s="53">
        <f t="shared" si="2"/>
        <v>129.29261329520455</v>
      </c>
      <c r="E34" s="38">
        <v>7</v>
      </c>
      <c r="F34" s="53">
        <f t="shared" si="4"/>
        <v>515.58404074774819</v>
      </c>
      <c r="G34" s="59">
        <f t="shared" si="1"/>
        <v>168.0803972837659</v>
      </c>
      <c r="I34" s="251" t="s">
        <v>69</v>
      </c>
      <c r="J34" s="252"/>
      <c r="K34" s="253"/>
      <c r="L34" s="133">
        <f>SUM(L32)</f>
        <v>0</v>
      </c>
    </row>
    <row r="35" spans="1:14" ht="15" customHeight="1" x14ac:dyDescent="0.2">
      <c r="A35" s="38">
        <v>6</v>
      </c>
      <c r="B35" s="53">
        <f t="shared" si="3"/>
        <v>339.94552137214168</v>
      </c>
      <c r="C35" s="54">
        <f t="shared" si="0"/>
        <v>227.05714285714285</v>
      </c>
      <c r="D35" s="53">
        <f t="shared" si="2"/>
        <v>110.8222399673182</v>
      </c>
      <c r="E35" s="38">
        <v>6</v>
      </c>
      <c r="F35" s="53">
        <f t="shared" si="4"/>
        <v>441.92917778378421</v>
      </c>
      <c r="G35" s="59">
        <f t="shared" si="1"/>
        <v>144.06891195751365</v>
      </c>
      <c r="I35" s="35"/>
      <c r="J35" s="19"/>
      <c r="L35" s="118"/>
      <c r="N35" s="139"/>
    </row>
    <row r="36" spans="1:14" ht="15" customHeight="1" x14ac:dyDescent="0.2">
      <c r="A36" s="38">
        <v>5</v>
      </c>
      <c r="B36" s="53">
        <f t="shared" si="3"/>
        <v>283.2879344767847</v>
      </c>
      <c r="C36" s="54">
        <f t="shared" si="0"/>
        <v>189.21428571428572</v>
      </c>
      <c r="D36" s="53">
        <f t="shared" si="2"/>
        <v>92.351866639431819</v>
      </c>
      <c r="E36" s="38">
        <v>5</v>
      </c>
      <c r="F36" s="53">
        <f t="shared" si="4"/>
        <v>368.27431481982012</v>
      </c>
      <c r="G36" s="59">
        <f t="shared" si="1"/>
        <v>120.05742663126136</v>
      </c>
      <c r="I36" s="254" t="s">
        <v>71</v>
      </c>
      <c r="J36" s="254"/>
      <c r="K36" s="254"/>
      <c r="L36" s="254"/>
      <c r="M36" s="255" t="s">
        <v>70</v>
      </c>
      <c r="N36" s="139"/>
    </row>
    <row r="37" spans="1:14" ht="15" customHeight="1" x14ac:dyDescent="0.2">
      <c r="A37" s="38">
        <v>4</v>
      </c>
      <c r="B37" s="53">
        <f t="shared" si="3"/>
        <v>226.63034758142777</v>
      </c>
      <c r="C37" s="54">
        <f t="shared" si="0"/>
        <v>151.37142857142857</v>
      </c>
      <c r="D37" s="53">
        <f t="shared" si="2"/>
        <v>73.881493311545455</v>
      </c>
      <c r="E37" s="38">
        <v>4</v>
      </c>
      <c r="F37" s="53">
        <f t="shared" si="4"/>
        <v>294.61945185585614</v>
      </c>
      <c r="G37" s="59">
        <f t="shared" si="1"/>
        <v>96.045941305009109</v>
      </c>
      <c r="I37" s="254"/>
      <c r="J37" s="254"/>
      <c r="K37" s="254"/>
      <c r="L37" s="254"/>
      <c r="M37" s="255"/>
      <c r="N37" s="139"/>
    </row>
    <row r="38" spans="1:14" ht="15" customHeight="1" x14ac:dyDescent="0.2">
      <c r="A38" s="38">
        <v>3</v>
      </c>
      <c r="B38" s="53">
        <f t="shared" si="3"/>
        <v>169.97276068607084</v>
      </c>
      <c r="C38" s="54">
        <f t="shared" si="0"/>
        <v>113.52857142857142</v>
      </c>
      <c r="D38" s="53">
        <f t="shared" si="2"/>
        <v>55.411119983659098</v>
      </c>
      <c r="E38" s="38">
        <v>3</v>
      </c>
      <c r="F38" s="53">
        <f t="shared" si="4"/>
        <v>220.96458889189211</v>
      </c>
      <c r="G38" s="59">
        <f t="shared" si="1"/>
        <v>72.034455978756824</v>
      </c>
      <c r="I38" s="8"/>
    </row>
    <row r="39" spans="1:14" ht="15" customHeight="1" x14ac:dyDescent="0.2">
      <c r="A39" s="38">
        <v>2</v>
      </c>
      <c r="B39" s="53">
        <f t="shared" si="3"/>
        <v>113.31517379071389</v>
      </c>
      <c r="C39" s="54">
        <f t="shared" si="0"/>
        <v>75.685714285714283</v>
      </c>
      <c r="D39" s="53">
        <f t="shared" si="2"/>
        <v>36.940746655772728</v>
      </c>
      <c r="E39" s="38">
        <v>2</v>
      </c>
      <c r="F39" s="53">
        <f t="shared" si="4"/>
        <v>147.30972592792807</v>
      </c>
      <c r="G39" s="59">
        <f t="shared" si="1"/>
        <v>48.022970652504554</v>
      </c>
      <c r="I39" s="8"/>
    </row>
    <row r="40" spans="1:14" ht="15" customHeight="1" x14ac:dyDescent="0.2">
      <c r="A40" s="39">
        <v>1</v>
      </c>
      <c r="B40" s="55">
        <f t="shared" si="3"/>
        <v>56.657586895356943</v>
      </c>
      <c r="C40" s="56">
        <f t="shared" si="0"/>
        <v>37.842857142857142</v>
      </c>
      <c r="D40" s="55">
        <f t="shared" si="2"/>
        <v>18.470373327886364</v>
      </c>
      <c r="E40" s="39">
        <v>1</v>
      </c>
      <c r="F40" s="55">
        <f t="shared" si="4"/>
        <v>73.654862963964035</v>
      </c>
      <c r="G40" s="55">
        <f t="shared" si="1"/>
        <v>24.011485326252277</v>
      </c>
      <c r="I40" s="8"/>
    </row>
    <row r="41" spans="1:14" x14ac:dyDescent="0.2">
      <c r="D41" s="204"/>
    </row>
    <row r="43" spans="1:14" ht="42" hidden="1" customHeight="1" thickBot="1" x14ac:dyDescent="0.25">
      <c r="B43" s="205" t="s">
        <v>14</v>
      </c>
      <c r="C43" s="206">
        <v>8.83</v>
      </c>
      <c r="E43" s="17"/>
    </row>
  </sheetData>
  <sheetProtection algorithmName="SHA-512" hashValue="0vXgeZCqdThHHDbNMFCVc7+XDZy6JyVTpppvB29RSYO+yS7d5N3oihA0ibB4zkJ50oMZIvdMAIYWCPMwKGeyKg==" saltValue="V5aZWqCkBNfwoAHFj/m0LA==" spinCount="100000" sheet="1" objects="1" scenarios="1"/>
  <protectedRanges>
    <protectedRange sqref="M36" name="CALCULO RC"/>
    <protectedRange sqref="L8 L26" name="RET TC_1"/>
    <protectedRange sqref="L23" name="DED_1"/>
  </protectedRanges>
  <mergeCells count="35">
    <mergeCell ref="I34:K34"/>
    <mergeCell ref="I36:L37"/>
    <mergeCell ref="M36:M37"/>
    <mergeCell ref="I29:L30"/>
    <mergeCell ref="I32:I33"/>
    <mergeCell ref="J32:J33"/>
    <mergeCell ref="K32:K33"/>
    <mergeCell ref="L32:L33"/>
    <mergeCell ref="I20:N21"/>
    <mergeCell ref="I23:K24"/>
    <mergeCell ref="L23:L24"/>
    <mergeCell ref="I26:K27"/>
    <mergeCell ref="L26:L27"/>
    <mergeCell ref="I16:I17"/>
    <mergeCell ref="J16:J17"/>
    <mergeCell ref="K16:K17"/>
    <mergeCell ref="L16:L17"/>
    <mergeCell ref="I18:J18"/>
    <mergeCell ref="I8:K9"/>
    <mergeCell ref="L8:L9"/>
    <mergeCell ref="I11:L12"/>
    <mergeCell ref="I14:I15"/>
    <mergeCell ref="J14:J15"/>
    <mergeCell ref="K14:K15"/>
    <mergeCell ref="L14:L15"/>
    <mergeCell ref="I4:I5"/>
    <mergeCell ref="J4:J5"/>
    <mergeCell ref="K4:K5"/>
    <mergeCell ref="L4:L5"/>
    <mergeCell ref="M4:M5"/>
    <mergeCell ref="B2:D2"/>
    <mergeCell ref="F2:G2"/>
    <mergeCell ref="A1:G1"/>
    <mergeCell ref="I2:K2"/>
    <mergeCell ref="L2:M2"/>
  </mergeCells>
  <hyperlinks>
    <hyperlink ref="M36:M37" r:id="rId1" display="CALCULO RC"/>
  </hyperlinks>
  <pageMargins left="0.94488188976377963" right="0.86614173228346458" top="0" bottom="0.39370078740157483" header="0" footer="0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D17" sqref="D17"/>
    </sheetView>
  </sheetViews>
  <sheetFormatPr baseColWidth="10" defaultColWidth="11.5703125" defaultRowHeight="14.25" x14ac:dyDescent="0.2"/>
  <cols>
    <col min="1" max="1" width="40.7109375" style="171" customWidth="1"/>
    <col min="2" max="2" width="24.85546875" style="70" customWidth="1"/>
    <col min="3" max="4" width="24.7109375" style="70" customWidth="1"/>
    <col min="5" max="5" width="8" style="5" customWidth="1"/>
    <col min="6" max="6" width="30" style="7" customWidth="1"/>
    <col min="7" max="7" width="20.85546875" style="5" customWidth="1"/>
    <col min="8" max="8" width="24.140625" style="5" customWidth="1"/>
    <col min="9" max="9" width="20.5703125" style="5" customWidth="1"/>
    <col min="10" max="10" width="15.28515625" style="5" customWidth="1"/>
    <col min="11" max="16384" width="11.5703125" style="5"/>
  </cols>
  <sheetData>
    <row r="1" spans="1:10" s="8" customFormat="1" ht="55.5" customHeight="1" thickBot="1" x14ac:dyDescent="0.25">
      <c r="A1" s="280" t="s">
        <v>97</v>
      </c>
      <c r="B1" s="280"/>
      <c r="C1" s="280"/>
      <c r="D1" s="280"/>
      <c r="F1" s="161" t="s">
        <v>87</v>
      </c>
      <c r="G1" s="281" t="s">
        <v>53</v>
      </c>
      <c r="H1" s="282"/>
      <c r="I1" s="281" t="s">
        <v>57</v>
      </c>
      <c r="J1" s="282"/>
    </row>
    <row r="2" spans="1:10" s="36" customFormat="1" ht="34.5" customHeight="1" x14ac:dyDescent="0.2">
      <c r="A2" s="167" t="s">
        <v>86</v>
      </c>
      <c r="B2" s="278" t="s">
        <v>47</v>
      </c>
      <c r="C2" s="279"/>
      <c r="D2" s="279"/>
      <c r="E2" s="177"/>
      <c r="F2" s="127" t="s">
        <v>88</v>
      </c>
      <c r="G2" s="127" t="s">
        <v>63</v>
      </c>
      <c r="H2" s="127" t="s">
        <v>64</v>
      </c>
      <c r="I2" s="128" t="s">
        <v>55</v>
      </c>
      <c r="J2" s="127" t="s">
        <v>56</v>
      </c>
    </row>
    <row r="3" spans="1:10" s="27" customFormat="1" ht="25.5" x14ac:dyDescent="0.2">
      <c r="A3" s="142"/>
      <c r="B3" s="65" t="s">
        <v>79</v>
      </c>
      <c r="C3" s="143" t="s">
        <v>84</v>
      </c>
      <c r="D3" s="143" t="s">
        <v>90</v>
      </c>
      <c r="F3" s="144">
        <v>8.83</v>
      </c>
      <c r="G3" s="207">
        <v>1466.4</v>
      </c>
      <c r="H3" s="207">
        <v>4070.1</v>
      </c>
      <c r="I3" s="208">
        <v>1050</v>
      </c>
      <c r="J3" s="208">
        <v>4070.1</v>
      </c>
    </row>
    <row r="4" spans="1:10" s="21" customFormat="1" ht="30.75" customHeight="1" thickBot="1" x14ac:dyDescent="0.25">
      <c r="A4" s="168" t="s">
        <v>85</v>
      </c>
      <c r="B4" s="151">
        <v>29271.9</v>
      </c>
      <c r="C4" s="180">
        <f>B4/12</f>
        <v>2439.3250000000003</v>
      </c>
      <c r="D4" s="181">
        <f>B4/14</f>
        <v>2090.85</v>
      </c>
      <c r="F4" s="156"/>
      <c r="G4" s="157"/>
      <c r="H4" s="157"/>
      <c r="I4" s="158"/>
      <c r="J4" s="158"/>
    </row>
    <row r="5" spans="1:10" s="8" customFormat="1" ht="24" customHeight="1" thickBot="1" x14ac:dyDescent="0.25">
      <c r="A5" s="169" t="s">
        <v>75</v>
      </c>
      <c r="B5" s="152">
        <f>B4*56%</f>
        <v>16392.264000000003</v>
      </c>
      <c r="C5" s="152">
        <f>B5/12</f>
        <v>1366.0220000000002</v>
      </c>
      <c r="D5" s="153">
        <f>B5/14</f>
        <v>1170.8760000000002</v>
      </c>
      <c r="F5" s="271" t="s">
        <v>96</v>
      </c>
      <c r="G5" s="271"/>
      <c r="H5" s="271"/>
      <c r="I5" s="213">
        <v>0</v>
      </c>
    </row>
    <row r="6" spans="1:10" s="8" customFormat="1" ht="24" customHeight="1" x14ac:dyDescent="0.2">
      <c r="A6" s="169" t="s">
        <v>76</v>
      </c>
      <c r="B6" s="152">
        <f>B4*56%</f>
        <v>16392.264000000003</v>
      </c>
      <c r="C6" s="182">
        <f>B6/12</f>
        <v>1366.0220000000002</v>
      </c>
      <c r="D6" s="178">
        <f t="shared" ref="D6:D10" si="0">B6/14</f>
        <v>1170.8760000000002</v>
      </c>
      <c r="F6" s="283" t="s">
        <v>92</v>
      </c>
      <c r="G6" s="284"/>
      <c r="H6" s="284"/>
      <c r="I6" s="285"/>
      <c r="J6" s="160"/>
    </row>
    <row r="7" spans="1:10" s="8" customFormat="1" ht="24" customHeight="1" thickBot="1" x14ac:dyDescent="0.25">
      <c r="A7" s="169" t="s">
        <v>77</v>
      </c>
      <c r="B7" s="152">
        <f>B4*60%</f>
        <v>17563.14</v>
      </c>
      <c r="C7" s="182">
        <f>B7/12</f>
        <v>1463.595</v>
      </c>
      <c r="D7" s="178">
        <f t="shared" si="0"/>
        <v>1254.51</v>
      </c>
      <c r="F7" s="286"/>
      <c r="G7" s="287"/>
      <c r="H7" s="287"/>
      <c r="I7" s="288"/>
      <c r="J7" s="160"/>
    </row>
    <row r="8" spans="1:10" s="8" customFormat="1" ht="24" customHeight="1" thickBot="1" x14ac:dyDescent="0.25">
      <c r="A8" s="169" t="s">
        <v>78</v>
      </c>
      <c r="B8" s="152">
        <f>B4*75%</f>
        <v>21953.925000000003</v>
      </c>
      <c r="C8" s="152">
        <f>B8/12</f>
        <v>1829.4937500000003</v>
      </c>
      <c r="D8" s="153">
        <f t="shared" si="0"/>
        <v>1568.1375000000003</v>
      </c>
      <c r="F8" s="120"/>
      <c r="G8" s="138" t="s">
        <v>58</v>
      </c>
      <c r="H8" s="162" t="s">
        <v>59</v>
      </c>
      <c r="I8" s="145" t="s">
        <v>60</v>
      </c>
    </row>
    <row r="9" spans="1:10" s="8" customFormat="1" ht="15" customHeight="1" x14ac:dyDescent="0.2">
      <c r="A9" s="169"/>
      <c r="B9" s="152"/>
      <c r="C9" s="152"/>
      <c r="D9" s="153"/>
      <c r="F9" s="289" t="s">
        <v>61</v>
      </c>
      <c r="G9" s="239">
        <f>IF($I$5&gt;=$G$3,$I$5,$G$3)</f>
        <v>1466.4</v>
      </c>
      <c r="H9" s="260">
        <v>16.52</v>
      </c>
      <c r="I9" s="239">
        <f>G9*H9%</f>
        <v>242.24928</v>
      </c>
    </row>
    <row r="10" spans="1:10" s="8" customFormat="1" ht="15" customHeight="1" thickBot="1" x14ac:dyDescent="0.25">
      <c r="A10" s="170" t="s">
        <v>80</v>
      </c>
      <c r="B10" s="154">
        <f>(SUM(B5:B8))/4</f>
        <v>18075.398250000002</v>
      </c>
      <c r="C10" s="183">
        <f>(SUM(C5:C8))/4</f>
        <v>1506.2831875000002</v>
      </c>
      <c r="D10" s="179">
        <f t="shared" si="0"/>
        <v>1291.0998750000001</v>
      </c>
      <c r="F10" s="290"/>
      <c r="G10" s="240"/>
      <c r="H10" s="261"/>
      <c r="I10" s="240"/>
    </row>
    <row r="11" spans="1:10" ht="14.25" customHeight="1" x14ac:dyDescent="0.2">
      <c r="F11" s="289" t="s">
        <v>62</v>
      </c>
      <c r="G11" s="239">
        <f>IF($I$5&gt;=$I$3,$I$5,$I$3)</f>
        <v>1050</v>
      </c>
      <c r="H11" s="260">
        <v>9</v>
      </c>
      <c r="I11" s="239">
        <f>G11*H11%</f>
        <v>94.5</v>
      </c>
    </row>
    <row r="12" spans="1:10" ht="15" thickBot="1" x14ac:dyDescent="0.25">
      <c r="F12" s="290"/>
      <c r="G12" s="240"/>
      <c r="H12" s="261"/>
      <c r="I12" s="240"/>
    </row>
    <row r="13" spans="1:10" ht="24" customHeight="1" thickBot="1" x14ac:dyDescent="0.25">
      <c r="F13" s="225" t="s">
        <v>89</v>
      </c>
      <c r="G13" s="226"/>
      <c r="H13" s="164">
        <f>SUM(H9:H12)</f>
        <v>25.52</v>
      </c>
      <c r="I13" s="159">
        <f>SUM(I9:I12)</f>
        <v>336.74928</v>
      </c>
    </row>
    <row r="16" spans="1:10" ht="15" customHeight="1" thickBot="1" x14ac:dyDescent="0.25"/>
    <row r="17" spans="1:10" ht="28.5" customHeight="1" thickBot="1" x14ac:dyDescent="0.25">
      <c r="A17" s="172"/>
      <c r="B17"/>
      <c r="C17"/>
      <c r="D17"/>
      <c r="F17" s="271" t="s">
        <v>96</v>
      </c>
      <c r="G17" s="271"/>
      <c r="H17" s="271"/>
      <c r="I17" s="213">
        <v>0</v>
      </c>
    </row>
    <row r="18" spans="1:10" ht="42" customHeight="1" thickBot="1" x14ac:dyDescent="0.25">
      <c r="A18" s="184"/>
      <c r="B18" s="270"/>
      <c r="C18" s="270"/>
      <c r="D18" s="173"/>
      <c r="F18" s="272" t="s">
        <v>93</v>
      </c>
      <c r="G18" s="273"/>
      <c r="H18" s="273"/>
      <c r="I18" s="273"/>
      <c r="J18" s="189"/>
    </row>
    <row r="19" spans="1:10" ht="15" thickBot="1" x14ac:dyDescent="0.25">
      <c r="A19" s="175"/>
      <c r="B19" s="175"/>
      <c r="C19" s="175"/>
      <c r="D19" s="175"/>
      <c r="F19" s="163"/>
      <c r="G19" s="138" t="s">
        <v>58</v>
      </c>
      <c r="H19" s="162" t="s">
        <v>59</v>
      </c>
      <c r="I19" s="145" t="s">
        <v>60</v>
      </c>
      <c r="J19" s="184"/>
    </row>
    <row r="20" spans="1:10" ht="21" customHeight="1" x14ac:dyDescent="0.2">
      <c r="A20" s="185"/>
      <c r="B20" s="174"/>
      <c r="C20" s="174"/>
      <c r="D20" s="174"/>
      <c r="F20" s="245" t="s">
        <v>61</v>
      </c>
      <c r="G20" s="239">
        <f>IF($I$17&gt;=$G$3,$I$17,$G$3)</f>
        <v>1466.4</v>
      </c>
      <c r="H20" s="258">
        <v>23.6</v>
      </c>
      <c r="I20" s="276">
        <f>G20*H20%</f>
        <v>346.07040000000006</v>
      </c>
      <c r="J20" s="189"/>
    </row>
    <row r="21" spans="1:10" ht="24.75" customHeight="1" thickBot="1" x14ac:dyDescent="0.25">
      <c r="A21" s="185"/>
      <c r="B21" s="174"/>
      <c r="C21" s="174"/>
      <c r="D21" s="174"/>
      <c r="F21" s="246"/>
      <c r="G21" s="240"/>
      <c r="H21" s="259"/>
      <c r="I21" s="277"/>
      <c r="J21" s="189"/>
    </row>
    <row r="22" spans="1:10" ht="20.25" customHeight="1" x14ac:dyDescent="0.2">
      <c r="A22" s="186"/>
      <c r="B22" s="187"/>
      <c r="C22" s="187"/>
      <c r="D22" s="187"/>
      <c r="F22" s="245" t="s">
        <v>62</v>
      </c>
      <c r="G22" s="239">
        <f>IF($I$17&gt;=$I$3,$I$17,$I$3)</f>
        <v>1050</v>
      </c>
      <c r="H22" s="258">
        <v>7.8</v>
      </c>
      <c r="I22" s="239">
        <f>G22*H22%</f>
        <v>81.900000000000006</v>
      </c>
      <c r="J22" s="184"/>
    </row>
    <row r="23" spans="1:10" ht="14.25" customHeight="1" thickBot="1" x14ac:dyDescent="0.25">
      <c r="A23" s="166"/>
      <c r="B23" s="166"/>
      <c r="C23" s="176"/>
      <c r="D23" s="176"/>
      <c r="F23" s="246"/>
      <c r="G23" s="240"/>
      <c r="H23" s="259"/>
      <c r="I23" s="240"/>
      <c r="J23" s="184"/>
    </row>
    <row r="24" spans="1:10" ht="25.5" customHeight="1" thickBot="1" x14ac:dyDescent="0.25">
      <c r="A24" s="166"/>
      <c r="B24" s="166"/>
      <c r="C24" s="176"/>
      <c r="D24" s="176"/>
      <c r="F24" s="225" t="s">
        <v>91</v>
      </c>
      <c r="G24" s="226"/>
      <c r="H24" s="164">
        <f>(H20+H22)</f>
        <v>31.400000000000002</v>
      </c>
      <c r="I24" s="190">
        <f>(I20+I22)</f>
        <v>427.97040000000004</v>
      </c>
      <c r="J24" s="189"/>
    </row>
    <row r="25" spans="1:10" ht="26.25" customHeight="1" x14ac:dyDescent="0.2">
      <c r="A25" s="186"/>
      <c r="B25" s="187"/>
      <c r="C25" s="187"/>
      <c r="D25" s="187"/>
    </row>
    <row r="26" spans="1:10" ht="20.25" customHeight="1" x14ac:dyDescent="0.2">
      <c r="A26" s="166"/>
      <c r="B26" s="166"/>
      <c r="C26" s="188"/>
      <c r="D26" s="188"/>
      <c r="F26" s="275" t="s">
        <v>71</v>
      </c>
      <c r="G26" s="275"/>
      <c r="H26" s="275"/>
      <c r="I26" s="274" t="s">
        <v>70</v>
      </c>
    </row>
    <row r="27" spans="1:10" x14ac:dyDescent="0.2">
      <c r="A27" s="166"/>
      <c r="B27" s="166"/>
      <c r="C27" s="188"/>
      <c r="D27" s="188"/>
      <c r="F27" s="275"/>
      <c r="G27" s="275"/>
      <c r="H27" s="275"/>
      <c r="I27" s="274"/>
    </row>
    <row r="29" spans="1:10" x14ac:dyDescent="0.2">
      <c r="H29" s="165"/>
    </row>
  </sheetData>
  <sheetProtection algorithmName="SHA-512" hashValue="YDB0QYFuCMzqh1c77AHdgF2ExBIDUAEDWG/ok/ptT6vjf45wU8mood4veYuMAcW03ha9cynvtfnXbF0OZB4+uA==" saltValue="CHdLvq+7Q49aWVJT/0136g==" spinCount="100000" sheet="1" objects="1" scenarios="1"/>
  <protectedRanges>
    <protectedRange sqref="I26" name="CALCULO RC"/>
    <protectedRange sqref="C26:D26" name="RET PRACTICAS"/>
    <protectedRange sqref="C23:D23" name="DED"/>
    <protectedRange sqref="I5" name="RET PREDOC_1"/>
    <protectedRange sqref="I17" name="RET PREDOC_2"/>
  </protectedRanges>
  <mergeCells count="29">
    <mergeCell ref="B2:D2"/>
    <mergeCell ref="A1:D1"/>
    <mergeCell ref="F13:G13"/>
    <mergeCell ref="G11:G12"/>
    <mergeCell ref="I1:J1"/>
    <mergeCell ref="G1:H1"/>
    <mergeCell ref="G9:G10"/>
    <mergeCell ref="F5:H5"/>
    <mergeCell ref="F6:I7"/>
    <mergeCell ref="I11:I12"/>
    <mergeCell ref="F9:F10"/>
    <mergeCell ref="F11:F12"/>
    <mergeCell ref="H9:H10"/>
    <mergeCell ref="I9:I10"/>
    <mergeCell ref="H11:H12"/>
    <mergeCell ref="I26:I27"/>
    <mergeCell ref="F26:H27"/>
    <mergeCell ref="I20:I21"/>
    <mergeCell ref="I22:I23"/>
    <mergeCell ref="F24:G24"/>
    <mergeCell ref="H22:H23"/>
    <mergeCell ref="G22:G23"/>
    <mergeCell ref="F22:F23"/>
    <mergeCell ref="B18:C18"/>
    <mergeCell ref="F17:H17"/>
    <mergeCell ref="F18:I18"/>
    <mergeCell ref="H20:H21"/>
    <mergeCell ref="G20:G21"/>
    <mergeCell ref="F20:F21"/>
  </mergeCells>
  <hyperlinks>
    <hyperlink ref="I26:I27" r:id="rId1" display="CALCULO RC"/>
  </hyperlinks>
  <pageMargins left="0.94488188976377963" right="0.94488188976377963" top="0" bottom="0.39370078740157483" header="0" footer="0"/>
  <pageSetup paperSize="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22" zoomScaleNormal="100" workbookViewId="0">
      <selection activeCell="I32" sqref="I32:I33"/>
    </sheetView>
  </sheetViews>
  <sheetFormatPr baseColWidth="10" defaultColWidth="11.5703125" defaultRowHeight="14.25" x14ac:dyDescent="0.2"/>
  <cols>
    <col min="1" max="1" width="18.42578125" style="4" customWidth="1"/>
    <col min="2" max="2" width="24.85546875" style="68" customWidth="1"/>
    <col min="3" max="3" width="16.7109375" style="69" hidden="1" customWidth="1"/>
    <col min="4" max="4" width="18.42578125" style="68" customWidth="1"/>
    <col min="5" max="5" width="18.42578125" style="5" customWidth="1"/>
    <col min="6" max="6" width="24.85546875" style="68" customWidth="1"/>
    <col min="7" max="7" width="18.42578125" style="68" customWidth="1"/>
    <col min="8" max="8" width="11.5703125" style="5"/>
    <col min="9" max="9" width="17.7109375" style="7" customWidth="1"/>
    <col min="10" max="10" width="20.42578125" style="5" customWidth="1"/>
    <col min="11" max="11" width="19.42578125" style="5" customWidth="1"/>
    <col min="12" max="12" width="17.42578125" style="5" customWidth="1"/>
    <col min="13" max="13" width="15.42578125" style="5" customWidth="1"/>
    <col min="14" max="16384" width="11.5703125" style="5"/>
  </cols>
  <sheetData>
    <row r="1" spans="1:15" s="8" customFormat="1" ht="65.25" customHeight="1" x14ac:dyDescent="0.2">
      <c r="A1" s="215" t="s">
        <v>98</v>
      </c>
      <c r="B1" s="216"/>
      <c r="C1" s="216"/>
      <c r="D1" s="216"/>
      <c r="E1" s="216"/>
      <c r="F1" s="216"/>
      <c r="G1" s="216"/>
      <c r="K1" s="19"/>
    </row>
    <row r="2" spans="1:15" s="36" customFormat="1" ht="24.75" customHeight="1" x14ac:dyDescent="0.2">
      <c r="A2" s="44"/>
      <c r="B2" s="291" t="s">
        <v>47</v>
      </c>
      <c r="C2" s="291"/>
      <c r="D2" s="292"/>
      <c r="E2" s="42"/>
      <c r="F2" s="291" t="s">
        <v>48</v>
      </c>
      <c r="G2" s="292"/>
      <c r="I2" s="217" t="s">
        <v>53</v>
      </c>
      <c r="J2" s="217"/>
      <c r="K2" s="217"/>
      <c r="L2" s="217" t="s">
        <v>57</v>
      </c>
      <c r="M2" s="217"/>
    </row>
    <row r="3" spans="1:15" s="27" customFormat="1" ht="38.25" x14ac:dyDescent="0.2">
      <c r="A3" s="43" t="s">
        <v>45</v>
      </c>
      <c r="B3" s="65" t="s">
        <v>46</v>
      </c>
      <c r="C3" s="66" t="s">
        <v>15</v>
      </c>
      <c r="D3" s="67" t="s">
        <v>49</v>
      </c>
      <c r="E3" s="40" t="s">
        <v>45</v>
      </c>
      <c r="F3" s="65" t="s">
        <v>46</v>
      </c>
      <c r="G3" s="67" t="s">
        <v>50</v>
      </c>
      <c r="I3" s="127" t="s">
        <v>52</v>
      </c>
      <c r="J3" s="127" t="s">
        <v>63</v>
      </c>
      <c r="K3" s="127" t="s">
        <v>64</v>
      </c>
      <c r="L3" s="128" t="s">
        <v>55</v>
      </c>
      <c r="M3" s="127" t="s">
        <v>56</v>
      </c>
      <c r="O3" s="127"/>
    </row>
    <row r="4" spans="1:15" ht="15" customHeight="1" x14ac:dyDescent="0.2">
      <c r="A4" s="37">
        <v>37.5</v>
      </c>
      <c r="B4" s="71">
        <f>PARAMETROS!B5</f>
        <v>1570.4005063386976</v>
      </c>
      <c r="C4" s="72"/>
      <c r="D4" s="71"/>
      <c r="E4" s="37">
        <v>37.5</v>
      </c>
      <c r="F4" s="71">
        <f>PARAMETROS!C5</f>
        <v>2041.5206582403071</v>
      </c>
      <c r="G4" s="71">
        <f>IF(F4&gt;$K$4,$K$4*$K$18%,F4*$K$18%)</f>
        <v>665.53573458634014</v>
      </c>
      <c r="I4" s="218">
        <v>1</v>
      </c>
      <c r="J4" s="267">
        <v>1466.4</v>
      </c>
      <c r="K4" s="267">
        <v>4070.1</v>
      </c>
      <c r="L4" s="268">
        <v>1050</v>
      </c>
      <c r="M4" s="268">
        <v>4070.1</v>
      </c>
      <c r="N4" s="8"/>
    </row>
    <row r="5" spans="1:15" ht="15" customHeight="1" x14ac:dyDescent="0.2">
      <c r="A5" s="38">
        <v>36</v>
      </c>
      <c r="B5" s="73">
        <f>PRODUCT(B$4,A5)/A$4</f>
        <v>1507.5844860851496</v>
      </c>
      <c r="C5" s="74">
        <f t="shared" ref="C5:C40" si="0">(A5/$A$4*7.5*5)/7*30*$C$43</f>
        <v>1362.3428571428574</v>
      </c>
      <c r="D5" s="73">
        <f>IF(B5&lt;C5,C5*$K$18%,B5*$K$18%)</f>
        <v>491.47254246375877</v>
      </c>
      <c r="E5" s="38">
        <v>36</v>
      </c>
      <c r="F5" s="73">
        <f>PRODUCT(F$4,E5)/E$4</f>
        <v>1959.8598319106948</v>
      </c>
      <c r="G5" s="73">
        <f t="shared" ref="G5:G40" si="1">IF(F5&gt;$K$4,$K$4*$K$18%,F5*$K$18%)</f>
        <v>638.91430520288657</v>
      </c>
      <c r="I5" s="218"/>
      <c r="J5" s="267"/>
      <c r="K5" s="267"/>
      <c r="L5" s="268"/>
      <c r="M5" s="268"/>
      <c r="N5" s="8"/>
    </row>
    <row r="6" spans="1:15" ht="15" customHeight="1" x14ac:dyDescent="0.2">
      <c r="A6" s="38">
        <v>35</v>
      </c>
      <c r="B6" s="73">
        <f t="shared" ref="B6:B40" si="2">PRODUCT(B$4,A6)/A$4</f>
        <v>1465.7071392494511</v>
      </c>
      <c r="C6" s="74">
        <f t="shared" si="0"/>
        <v>1324.5</v>
      </c>
      <c r="D6" s="73">
        <f t="shared" ref="D6:D40" si="3">IF(B6&lt;C6,C6*$K$18%,B6*$K$18%)</f>
        <v>477.82052739532105</v>
      </c>
      <c r="E6" s="38">
        <v>35</v>
      </c>
      <c r="F6" s="73">
        <f t="shared" ref="F6:F40" si="4">PRODUCT(F$4,E6)/E$4</f>
        <v>1905.4192810242866</v>
      </c>
      <c r="G6" s="73">
        <f t="shared" si="1"/>
        <v>621.16668561391748</v>
      </c>
      <c r="I6" s="35"/>
      <c r="J6" s="8"/>
      <c r="K6" s="8"/>
      <c r="L6" s="118"/>
      <c r="M6" s="8"/>
      <c r="N6" s="8"/>
    </row>
    <row r="7" spans="1:15" ht="15" customHeight="1" thickBot="1" x14ac:dyDescent="0.25">
      <c r="A7" s="38">
        <v>34</v>
      </c>
      <c r="B7" s="73">
        <f t="shared" si="2"/>
        <v>1423.8297924137526</v>
      </c>
      <c r="C7" s="74">
        <f t="shared" si="0"/>
        <v>1286.6571428571426</v>
      </c>
      <c r="D7" s="73">
        <f t="shared" si="3"/>
        <v>464.16851232688333</v>
      </c>
      <c r="E7" s="38">
        <v>34</v>
      </c>
      <c r="F7" s="73">
        <f t="shared" si="4"/>
        <v>1850.9787301378783</v>
      </c>
      <c r="G7" s="73">
        <f t="shared" si="1"/>
        <v>603.41906602494839</v>
      </c>
      <c r="I7" s="35"/>
      <c r="J7" s="19"/>
      <c r="K7" s="8"/>
      <c r="L7" s="118"/>
      <c r="M7" s="8"/>
      <c r="N7" s="8"/>
    </row>
    <row r="8" spans="1:15" ht="15" customHeight="1" x14ac:dyDescent="0.2">
      <c r="A8" s="38">
        <v>33</v>
      </c>
      <c r="B8" s="73">
        <f t="shared" si="2"/>
        <v>1381.952445578054</v>
      </c>
      <c r="C8" s="74">
        <f t="shared" si="0"/>
        <v>1248.8142857142859</v>
      </c>
      <c r="D8" s="73">
        <f t="shared" si="3"/>
        <v>450.51649725844561</v>
      </c>
      <c r="E8" s="38">
        <v>33</v>
      </c>
      <c r="F8" s="73">
        <f t="shared" si="4"/>
        <v>1796.5381792514702</v>
      </c>
      <c r="G8" s="73">
        <f t="shared" si="1"/>
        <v>585.67144643597931</v>
      </c>
      <c r="I8" s="229" t="s">
        <v>103</v>
      </c>
      <c r="J8" s="229"/>
      <c r="K8" s="230"/>
      <c r="L8" s="227">
        <v>0</v>
      </c>
      <c r="M8" s="8"/>
      <c r="N8" s="8"/>
    </row>
    <row r="9" spans="1:15" ht="15" customHeight="1" thickBot="1" x14ac:dyDescent="0.25">
      <c r="A9" s="38">
        <v>32</v>
      </c>
      <c r="B9" s="73">
        <f t="shared" si="2"/>
        <v>1340.0750987423553</v>
      </c>
      <c r="C9" s="74">
        <f t="shared" si="0"/>
        <v>1210.9714285714285</v>
      </c>
      <c r="D9" s="73">
        <f t="shared" si="3"/>
        <v>436.86448219000783</v>
      </c>
      <c r="E9" s="38">
        <v>32</v>
      </c>
      <c r="F9" s="73">
        <f t="shared" si="4"/>
        <v>1742.0976283650621</v>
      </c>
      <c r="G9" s="73">
        <f t="shared" si="1"/>
        <v>567.92382684701022</v>
      </c>
      <c r="I9" s="229"/>
      <c r="J9" s="229"/>
      <c r="K9" s="230"/>
      <c r="L9" s="228"/>
      <c r="M9" s="8"/>
      <c r="N9" s="8"/>
    </row>
    <row r="10" spans="1:15" ht="15" customHeight="1" thickBot="1" x14ac:dyDescent="0.25">
      <c r="A10" s="38">
        <v>31</v>
      </c>
      <c r="B10" s="73">
        <f t="shared" si="2"/>
        <v>1298.1977519066565</v>
      </c>
      <c r="C10" s="74">
        <f t="shared" si="0"/>
        <v>1173.1285714285714</v>
      </c>
      <c r="D10" s="73">
        <f t="shared" si="3"/>
        <v>423.21246712157006</v>
      </c>
      <c r="E10" s="38">
        <v>31</v>
      </c>
      <c r="F10" s="73">
        <f t="shared" si="4"/>
        <v>1687.6570774786539</v>
      </c>
      <c r="G10" s="73">
        <f t="shared" si="1"/>
        <v>550.17620725804125</v>
      </c>
      <c r="I10" s="123"/>
      <c r="J10" s="124"/>
      <c r="K10" s="125"/>
      <c r="L10" s="126"/>
      <c r="M10" s="8"/>
      <c r="N10" s="8"/>
    </row>
    <row r="11" spans="1:15" ht="15" customHeight="1" x14ac:dyDescent="0.2">
      <c r="A11" s="38">
        <v>30</v>
      </c>
      <c r="B11" s="73">
        <f t="shared" si="2"/>
        <v>1256.320405070958</v>
      </c>
      <c r="C11" s="74">
        <f t="shared" si="0"/>
        <v>1135.2857142857142</v>
      </c>
      <c r="D11" s="73">
        <f t="shared" si="3"/>
        <v>409.56045205313234</v>
      </c>
      <c r="E11" s="38">
        <v>30</v>
      </c>
      <c r="F11" s="73">
        <f t="shared" si="4"/>
        <v>1633.2165265922456</v>
      </c>
      <c r="G11" s="73">
        <f t="shared" si="1"/>
        <v>532.42858766907204</v>
      </c>
      <c r="I11" s="231" t="s">
        <v>65</v>
      </c>
      <c r="J11" s="232"/>
      <c r="K11" s="232"/>
      <c r="L11" s="233"/>
      <c r="M11" s="8"/>
      <c r="N11" s="8"/>
    </row>
    <row r="12" spans="1:15" ht="15" customHeight="1" thickBot="1" x14ac:dyDescent="0.25">
      <c r="A12" s="38">
        <v>29</v>
      </c>
      <c r="B12" s="73">
        <f t="shared" si="2"/>
        <v>1214.4430582352595</v>
      </c>
      <c r="C12" s="74">
        <f t="shared" si="0"/>
        <v>1097.4428571428573</v>
      </c>
      <c r="D12" s="73">
        <f t="shared" si="3"/>
        <v>395.90843698469462</v>
      </c>
      <c r="E12" s="38">
        <v>29</v>
      </c>
      <c r="F12" s="73">
        <f t="shared" si="4"/>
        <v>1578.7759757058375</v>
      </c>
      <c r="G12" s="73">
        <f t="shared" si="1"/>
        <v>514.68096808010307</v>
      </c>
      <c r="I12" s="234"/>
      <c r="J12" s="235"/>
      <c r="K12" s="235"/>
      <c r="L12" s="236"/>
      <c r="M12" s="8"/>
      <c r="N12" s="8"/>
    </row>
    <row r="13" spans="1:15" ht="15" customHeight="1" thickBot="1" x14ac:dyDescent="0.25">
      <c r="A13" s="38">
        <v>28</v>
      </c>
      <c r="B13" s="73">
        <f t="shared" si="2"/>
        <v>1172.5657113995608</v>
      </c>
      <c r="C13" s="74">
        <f t="shared" si="0"/>
        <v>1059.6000000000004</v>
      </c>
      <c r="D13" s="73">
        <f t="shared" si="3"/>
        <v>382.25642191625684</v>
      </c>
      <c r="E13" s="38">
        <v>28</v>
      </c>
      <c r="F13" s="73">
        <f t="shared" si="4"/>
        <v>1524.3354248194291</v>
      </c>
      <c r="G13" s="73">
        <f t="shared" si="1"/>
        <v>496.93334849113393</v>
      </c>
      <c r="I13" s="120"/>
      <c r="J13" s="138" t="s">
        <v>58</v>
      </c>
      <c r="K13" s="136" t="s">
        <v>59</v>
      </c>
      <c r="L13" s="145" t="s">
        <v>60</v>
      </c>
      <c r="M13" s="8"/>
      <c r="N13" s="8"/>
    </row>
    <row r="14" spans="1:15" ht="15" customHeight="1" x14ac:dyDescent="0.2">
      <c r="A14" s="38">
        <v>27</v>
      </c>
      <c r="B14" s="73">
        <f t="shared" si="2"/>
        <v>1130.6883645638623</v>
      </c>
      <c r="C14" s="74">
        <f t="shared" si="0"/>
        <v>1021.7571428571429</v>
      </c>
      <c r="D14" s="73">
        <f t="shared" si="3"/>
        <v>368.60440684781912</v>
      </c>
      <c r="E14" s="38">
        <v>27</v>
      </c>
      <c r="F14" s="73">
        <f t="shared" si="4"/>
        <v>1469.894873933021</v>
      </c>
      <c r="G14" s="73">
        <f t="shared" si="1"/>
        <v>479.1857289021649</v>
      </c>
      <c r="I14" s="237" t="s">
        <v>61</v>
      </c>
      <c r="J14" s="239">
        <f>IF(L8&gt;=J4,L8,J4)</f>
        <v>1466.4</v>
      </c>
      <c r="K14" s="241">
        <v>23.6</v>
      </c>
      <c r="L14" s="247">
        <f>J14*K14%</f>
        <v>346.07040000000006</v>
      </c>
      <c r="M14" s="8"/>
      <c r="N14" s="8"/>
    </row>
    <row r="15" spans="1:15" ht="15" customHeight="1" thickBot="1" x14ac:dyDescent="0.25">
      <c r="A15" s="38">
        <v>26</v>
      </c>
      <c r="B15" s="73">
        <f t="shared" si="2"/>
        <v>1088.8110177281637</v>
      </c>
      <c r="C15" s="74">
        <f t="shared" si="0"/>
        <v>983.91428571428571</v>
      </c>
      <c r="D15" s="73">
        <f t="shared" si="3"/>
        <v>354.9523917793814</v>
      </c>
      <c r="E15" s="38">
        <v>26</v>
      </c>
      <c r="F15" s="73">
        <f t="shared" si="4"/>
        <v>1415.4543230466129</v>
      </c>
      <c r="G15" s="73">
        <f t="shared" si="1"/>
        <v>461.43810931319581</v>
      </c>
      <c r="I15" s="238"/>
      <c r="J15" s="240"/>
      <c r="K15" s="242"/>
      <c r="L15" s="248"/>
      <c r="M15" s="8"/>
      <c r="N15" s="8"/>
    </row>
    <row r="16" spans="1:15" ht="15" customHeight="1" x14ac:dyDescent="0.2">
      <c r="A16" s="38">
        <v>25</v>
      </c>
      <c r="B16" s="73">
        <f t="shared" si="2"/>
        <v>1046.9336708924652</v>
      </c>
      <c r="C16" s="74">
        <f t="shared" si="0"/>
        <v>946.07142857142867</v>
      </c>
      <c r="D16" s="73">
        <f t="shared" si="3"/>
        <v>341.30037671094368</v>
      </c>
      <c r="E16" s="38">
        <v>25</v>
      </c>
      <c r="F16" s="73">
        <f t="shared" si="4"/>
        <v>1361.0137721602046</v>
      </c>
      <c r="G16" s="73">
        <f t="shared" si="1"/>
        <v>443.69048972422672</v>
      </c>
      <c r="I16" s="245" t="s">
        <v>62</v>
      </c>
      <c r="J16" s="239">
        <f>IF(L8&gt;=L4,L8,L4)</f>
        <v>1050</v>
      </c>
      <c r="K16" s="241">
        <v>9</v>
      </c>
      <c r="L16" s="243">
        <f>J16*K16%</f>
        <v>94.5</v>
      </c>
      <c r="M16" s="8"/>
      <c r="N16" s="8"/>
    </row>
    <row r="17" spans="1:14" ht="15" customHeight="1" thickBot="1" x14ac:dyDescent="0.25">
      <c r="A17" s="38">
        <v>24</v>
      </c>
      <c r="B17" s="73">
        <f t="shared" si="2"/>
        <v>1005.0563240567665</v>
      </c>
      <c r="C17" s="74">
        <f t="shared" si="0"/>
        <v>908.2285714285714</v>
      </c>
      <c r="D17" s="73">
        <f t="shared" si="3"/>
        <v>327.6483616425059</v>
      </c>
      <c r="E17" s="38">
        <v>24</v>
      </c>
      <c r="F17" s="73">
        <f t="shared" si="4"/>
        <v>1306.5732212737964</v>
      </c>
      <c r="G17" s="73">
        <f t="shared" si="1"/>
        <v>425.94287013525764</v>
      </c>
      <c r="I17" s="246"/>
      <c r="J17" s="240"/>
      <c r="K17" s="242">
        <v>0.2</v>
      </c>
      <c r="L17" s="244"/>
      <c r="M17" s="8"/>
      <c r="N17" s="8"/>
    </row>
    <row r="18" spans="1:14" ht="16.5" customHeight="1" thickBot="1" x14ac:dyDescent="0.25">
      <c r="A18" s="38">
        <v>23</v>
      </c>
      <c r="B18" s="73">
        <f t="shared" si="2"/>
        <v>963.17897722106773</v>
      </c>
      <c r="C18" s="74">
        <f t="shared" si="0"/>
        <v>870.38571428571424</v>
      </c>
      <c r="D18" s="73">
        <f t="shared" si="3"/>
        <v>313.99634657406807</v>
      </c>
      <c r="E18" s="38">
        <v>23</v>
      </c>
      <c r="F18" s="73">
        <f t="shared" si="4"/>
        <v>1252.1326703873883</v>
      </c>
      <c r="G18" s="73">
        <f t="shared" si="1"/>
        <v>408.19525054628861</v>
      </c>
      <c r="I18" s="225" t="s">
        <v>66</v>
      </c>
      <c r="J18" s="226"/>
      <c r="K18" s="137">
        <f>(K14+K16)</f>
        <v>32.6</v>
      </c>
      <c r="L18" s="133">
        <f>SUM(L14:L17)</f>
        <v>440.57040000000006</v>
      </c>
      <c r="M18" s="8"/>
      <c r="N18" s="8"/>
    </row>
    <row r="19" spans="1:14" ht="15" customHeight="1" x14ac:dyDescent="0.2">
      <c r="A19" s="38">
        <v>22</v>
      </c>
      <c r="B19" s="73">
        <f t="shared" si="2"/>
        <v>921.30163038536921</v>
      </c>
      <c r="C19" s="74">
        <f t="shared" si="0"/>
        <v>832.54285714285709</v>
      </c>
      <c r="D19" s="73">
        <f t="shared" si="3"/>
        <v>300.34433150563035</v>
      </c>
      <c r="E19" s="38">
        <v>22</v>
      </c>
      <c r="F19" s="73">
        <f t="shared" si="4"/>
        <v>1197.6921195009802</v>
      </c>
      <c r="G19" s="73">
        <f t="shared" si="1"/>
        <v>390.44763095731957</v>
      </c>
      <c r="I19" s="129"/>
      <c r="J19" s="130"/>
      <c r="K19" s="131"/>
      <c r="L19" s="132"/>
      <c r="M19" s="8"/>
      <c r="N19" s="8"/>
    </row>
    <row r="20" spans="1:14" ht="15" customHeight="1" x14ac:dyDescent="0.2">
      <c r="A20" s="38">
        <v>21</v>
      </c>
      <c r="B20" s="73">
        <f t="shared" si="2"/>
        <v>879.4242835496708</v>
      </c>
      <c r="C20" s="74">
        <f t="shared" si="0"/>
        <v>794.7</v>
      </c>
      <c r="D20" s="73">
        <f t="shared" si="3"/>
        <v>286.69231643719269</v>
      </c>
      <c r="E20" s="38">
        <v>21</v>
      </c>
      <c r="F20" s="73">
        <f t="shared" si="4"/>
        <v>1143.2515686145721</v>
      </c>
      <c r="G20" s="73">
        <f t="shared" si="1"/>
        <v>372.70001136835049</v>
      </c>
      <c r="I20" s="269" t="s">
        <v>82</v>
      </c>
      <c r="J20" s="269"/>
      <c r="K20" s="269"/>
      <c r="L20" s="269"/>
      <c r="M20" s="269"/>
      <c r="N20" s="269"/>
    </row>
    <row r="21" spans="1:14" ht="15" customHeight="1" x14ac:dyDescent="0.2">
      <c r="A21" s="38">
        <v>20</v>
      </c>
      <c r="B21" s="73">
        <f t="shared" si="2"/>
        <v>837.54693671397206</v>
      </c>
      <c r="C21" s="74">
        <f t="shared" si="0"/>
        <v>756.85714285714289</v>
      </c>
      <c r="D21" s="73">
        <f t="shared" si="3"/>
        <v>273.04030136875491</v>
      </c>
      <c r="E21" s="38">
        <v>20</v>
      </c>
      <c r="F21" s="73">
        <f t="shared" si="4"/>
        <v>1088.811017728164</v>
      </c>
      <c r="G21" s="73">
        <f t="shared" si="1"/>
        <v>354.95239177938146</v>
      </c>
      <c r="I21" s="269"/>
      <c r="J21" s="269"/>
      <c r="K21" s="269"/>
      <c r="L21" s="269"/>
      <c r="M21" s="269"/>
      <c r="N21" s="269"/>
    </row>
    <row r="22" spans="1:14" ht="15" customHeight="1" thickBot="1" x14ac:dyDescent="0.25">
      <c r="A22" s="38">
        <v>19</v>
      </c>
      <c r="B22" s="73">
        <f t="shared" si="2"/>
        <v>795.66958987827343</v>
      </c>
      <c r="C22" s="74">
        <f t="shared" si="0"/>
        <v>719.01428571428573</v>
      </c>
      <c r="D22" s="73">
        <f t="shared" si="3"/>
        <v>259.38828630031713</v>
      </c>
      <c r="E22" s="38">
        <v>19</v>
      </c>
      <c r="F22" s="73">
        <f t="shared" si="4"/>
        <v>1034.3704668417556</v>
      </c>
      <c r="G22" s="73">
        <f t="shared" si="1"/>
        <v>337.20477219041237</v>
      </c>
      <c r="I22" s="35"/>
      <c r="J22" s="19"/>
      <c r="K22" s="8"/>
      <c r="L22" s="118"/>
      <c r="M22" s="8"/>
      <c r="N22" s="8"/>
    </row>
    <row r="23" spans="1:14" ht="15" customHeight="1" x14ac:dyDescent="0.2">
      <c r="A23" s="38">
        <v>18</v>
      </c>
      <c r="B23" s="73">
        <f t="shared" si="2"/>
        <v>753.7922430425748</v>
      </c>
      <c r="C23" s="74">
        <f t="shared" si="0"/>
        <v>681.17142857142869</v>
      </c>
      <c r="D23" s="73">
        <f t="shared" si="3"/>
        <v>245.73627123187939</v>
      </c>
      <c r="E23" s="38">
        <v>18</v>
      </c>
      <c r="F23" s="73">
        <f t="shared" si="4"/>
        <v>979.92991595534738</v>
      </c>
      <c r="G23" s="73">
        <f t="shared" si="1"/>
        <v>319.45715260144328</v>
      </c>
      <c r="I23" s="229" t="s">
        <v>67</v>
      </c>
      <c r="J23" s="229"/>
      <c r="K23" s="230"/>
      <c r="L23" s="249">
        <v>0</v>
      </c>
      <c r="M23" s="8"/>
      <c r="N23" s="8"/>
    </row>
    <row r="24" spans="1:14" ht="15" customHeight="1" thickBot="1" x14ac:dyDescent="0.25">
      <c r="A24" s="38">
        <v>17</v>
      </c>
      <c r="B24" s="73">
        <f t="shared" si="2"/>
        <v>711.91489620687628</v>
      </c>
      <c r="C24" s="74">
        <f t="shared" si="0"/>
        <v>643.32857142857131</v>
      </c>
      <c r="D24" s="73">
        <f t="shared" si="3"/>
        <v>232.08425616344167</v>
      </c>
      <c r="E24" s="38">
        <v>17</v>
      </c>
      <c r="F24" s="73">
        <f t="shared" si="4"/>
        <v>925.48936506893915</v>
      </c>
      <c r="G24" s="73">
        <f t="shared" si="1"/>
        <v>301.7095330124742</v>
      </c>
      <c r="I24" s="229"/>
      <c r="J24" s="229"/>
      <c r="K24" s="230"/>
      <c r="L24" s="250"/>
      <c r="M24" s="8"/>
      <c r="N24" s="8"/>
    </row>
    <row r="25" spans="1:14" ht="15" customHeight="1" thickBot="1" x14ac:dyDescent="0.25">
      <c r="A25" s="38">
        <v>16</v>
      </c>
      <c r="B25" s="73">
        <f t="shared" si="2"/>
        <v>670.03754937117765</v>
      </c>
      <c r="C25" s="74">
        <f t="shared" si="0"/>
        <v>605.48571428571427</v>
      </c>
      <c r="D25" s="73">
        <f t="shared" si="3"/>
        <v>218.43224109500392</v>
      </c>
      <c r="E25" s="38">
        <v>16</v>
      </c>
      <c r="F25" s="73">
        <f t="shared" si="4"/>
        <v>871.04881418253103</v>
      </c>
      <c r="G25" s="73">
        <f t="shared" si="1"/>
        <v>283.96191342350511</v>
      </c>
      <c r="I25" s="35"/>
      <c r="J25" s="19"/>
      <c r="K25" s="8"/>
      <c r="L25" s="118"/>
      <c r="M25" s="8"/>
      <c r="N25" s="8"/>
    </row>
    <row r="26" spans="1:14" ht="15" customHeight="1" x14ac:dyDescent="0.2">
      <c r="A26" s="38">
        <v>15</v>
      </c>
      <c r="B26" s="73">
        <f t="shared" si="2"/>
        <v>628.16020253547902</v>
      </c>
      <c r="C26" s="74">
        <f t="shared" si="0"/>
        <v>567.64285714285711</v>
      </c>
      <c r="D26" s="73">
        <f t="shared" si="3"/>
        <v>204.78022602656617</v>
      </c>
      <c r="E26" s="38">
        <v>15</v>
      </c>
      <c r="F26" s="73">
        <f t="shared" si="4"/>
        <v>816.6082632961228</v>
      </c>
      <c r="G26" s="73">
        <f t="shared" si="1"/>
        <v>266.21429383453602</v>
      </c>
      <c r="I26" s="229" t="s">
        <v>72</v>
      </c>
      <c r="J26" s="229"/>
      <c r="K26" s="230"/>
      <c r="L26" s="227">
        <v>0</v>
      </c>
      <c r="M26" s="8"/>
      <c r="N26" s="8"/>
    </row>
    <row r="27" spans="1:14" ht="15" customHeight="1" thickBot="1" x14ac:dyDescent="0.25">
      <c r="A27" s="38">
        <v>14</v>
      </c>
      <c r="B27" s="73">
        <f t="shared" si="2"/>
        <v>586.28285569978038</v>
      </c>
      <c r="C27" s="74">
        <f t="shared" si="0"/>
        <v>529.80000000000018</v>
      </c>
      <c r="D27" s="73">
        <f t="shared" si="3"/>
        <v>191.12821095812842</v>
      </c>
      <c r="E27" s="38">
        <v>14</v>
      </c>
      <c r="F27" s="73">
        <f t="shared" si="4"/>
        <v>762.16771240971457</v>
      </c>
      <c r="G27" s="73">
        <f t="shared" si="1"/>
        <v>248.46667424556696</v>
      </c>
      <c r="I27" s="229"/>
      <c r="J27" s="229"/>
      <c r="K27" s="230"/>
      <c r="L27" s="228"/>
      <c r="M27" s="8"/>
      <c r="N27" s="8"/>
    </row>
    <row r="28" spans="1:14" ht="15" customHeight="1" thickBot="1" x14ac:dyDescent="0.25">
      <c r="A28" s="38">
        <v>13</v>
      </c>
      <c r="B28" s="73">
        <f t="shared" si="2"/>
        <v>544.40550886408187</v>
      </c>
      <c r="C28" s="74">
        <f t="shared" si="0"/>
        <v>491.95714285714286</v>
      </c>
      <c r="D28" s="73">
        <f t="shared" si="3"/>
        <v>177.4761958896907</v>
      </c>
      <c r="E28" s="38">
        <v>13</v>
      </c>
      <c r="F28" s="73">
        <f t="shared" si="4"/>
        <v>707.72716152330645</v>
      </c>
      <c r="G28" s="73">
        <f t="shared" si="1"/>
        <v>230.7190546565979</v>
      </c>
      <c r="I28" s="35"/>
      <c r="J28" s="19"/>
      <c r="K28" s="8"/>
      <c r="L28" s="118"/>
      <c r="M28" s="8"/>
      <c r="N28" s="8"/>
    </row>
    <row r="29" spans="1:14" ht="15" customHeight="1" x14ac:dyDescent="0.2">
      <c r="A29" s="38">
        <v>12</v>
      </c>
      <c r="B29" s="73">
        <f t="shared" si="2"/>
        <v>502.52816202838324</v>
      </c>
      <c r="C29" s="74">
        <f t="shared" si="0"/>
        <v>454.1142857142857</v>
      </c>
      <c r="D29" s="73">
        <f t="shared" si="3"/>
        <v>163.82418082125295</v>
      </c>
      <c r="E29" s="38">
        <v>12</v>
      </c>
      <c r="F29" s="73">
        <f t="shared" si="4"/>
        <v>653.28661063689822</v>
      </c>
      <c r="G29" s="73">
        <f t="shared" si="1"/>
        <v>212.97143506762882</v>
      </c>
      <c r="I29" s="231" t="s">
        <v>68</v>
      </c>
      <c r="J29" s="232"/>
      <c r="K29" s="232"/>
      <c r="L29" s="233"/>
      <c r="M29" s="8"/>
      <c r="N29" s="8"/>
    </row>
    <row r="30" spans="1:14" ht="15" customHeight="1" thickBot="1" x14ac:dyDescent="0.25">
      <c r="A30" s="38">
        <v>11</v>
      </c>
      <c r="B30" s="73">
        <f t="shared" si="2"/>
        <v>460.6508151926846</v>
      </c>
      <c r="C30" s="74">
        <f t="shared" si="0"/>
        <v>416.27142857142854</v>
      </c>
      <c r="D30" s="73">
        <f t="shared" si="3"/>
        <v>150.17216575281518</v>
      </c>
      <c r="E30" s="38">
        <v>11</v>
      </c>
      <c r="F30" s="73">
        <f t="shared" si="4"/>
        <v>598.8460597504901</v>
      </c>
      <c r="G30" s="73">
        <f t="shared" si="1"/>
        <v>195.22381547865979</v>
      </c>
      <c r="I30" s="234"/>
      <c r="J30" s="235"/>
      <c r="K30" s="235"/>
      <c r="L30" s="236"/>
      <c r="M30" s="8"/>
      <c r="N30" s="8"/>
    </row>
    <row r="31" spans="1:14" ht="15" customHeight="1" thickBot="1" x14ac:dyDescent="0.25">
      <c r="A31" s="38">
        <v>10</v>
      </c>
      <c r="B31" s="73">
        <f t="shared" si="2"/>
        <v>418.77346835698603</v>
      </c>
      <c r="C31" s="74">
        <f t="shared" si="0"/>
        <v>378.42857142857144</v>
      </c>
      <c r="D31" s="73">
        <f t="shared" si="3"/>
        <v>136.52015068437746</v>
      </c>
      <c r="E31" s="38">
        <v>10</v>
      </c>
      <c r="F31" s="73">
        <f t="shared" si="4"/>
        <v>544.40550886408198</v>
      </c>
      <c r="G31" s="73">
        <f t="shared" si="1"/>
        <v>177.47619588969073</v>
      </c>
      <c r="I31" s="140" t="s">
        <v>73</v>
      </c>
      <c r="J31" s="138" t="s">
        <v>58</v>
      </c>
      <c r="K31" s="136" t="s">
        <v>74</v>
      </c>
      <c r="L31" s="122" t="s">
        <v>60</v>
      </c>
      <c r="M31" s="8"/>
      <c r="N31" s="8"/>
    </row>
    <row r="32" spans="1:14" ht="15" customHeight="1" x14ac:dyDescent="0.2">
      <c r="A32" s="38">
        <v>9</v>
      </c>
      <c r="B32" s="73">
        <f t="shared" si="2"/>
        <v>376.8961215212874</v>
      </c>
      <c r="C32" s="74">
        <f t="shared" si="0"/>
        <v>340.58571428571435</v>
      </c>
      <c r="D32" s="73">
        <f t="shared" si="3"/>
        <v>122.86813561593969</v>
      </c>
      <c r="E32" s="38">
        <v>9</v>
      </c>
      <c r="F32" s="73">
        <f t="shared" si="4"/>
        <v>489.96495797767369</v>
      </c>
      <c r="G32" s="73">
        <f t="shared" si="1"/>
        <v>159.72857630072164</v>
      </c>
      <c r="I32" s="256">
        <f>((L23/37.5*7.5*5)/7)*30*$C$43</f>
        <v>0</v>
      </c>
      <c r="J32" s="258">
        <f>IF(L26&lt;I32,I32,L26)</f>
        <v>0</v>
      </c>
      <c r="K32" s="260">
        <v>32.6</v>
      </c>
      <c r="L32" s="243">
        <f>J32*K32%</f>
        <v>0</v>
      </c>
      <c r="M32" s="8"/>
      <c r="N32" s="8"/>
    </row>
    <row r="33" spans="1:14" ht="15" customHeight="1" thickBot="1" x14ac:dyDescent="0.25">
      <c r="A33" s="38">
        <v>8</v>
      </c>
      <c r="B33" s="73">
        <f t="shared" si="2"/>
        <v>335.01877468558882</v>
      </c>
      <c r="C33" s="74">
        <f t="shared" si="0"/>
        <v>302.74285714285713</v>
      </c>
      <c r="D33" s="73">
        <f t="shared" si="3"/>
        <v>109.21612054750196</v>
      </c>
      <c r="E33" s="38">
        <v>8</v>
      </c>
      <c r="F33" s="73">
        <f t="shared" si="4"/>
        <v>435.52440709126552</v>
      </c>
      <c r="G33" s="73">
        <f t="shared" si="1"/>
        <v>141.98095671175255</v>
      </c>
      <c r="I33" s="257"/>
      <c r="J33" s="259"/>
      <c r="K33" s="261"/>
      <c r="L33" s="262"/>
      <c r="M33" s="8"/>
      <c r="N33" s="8"/>
    </row>
    <row r="34" spans="1:14" ht="15" customHeight="1" thickBot="1" x14ac:dyDescent="0.25">
      <c r="A34" s="38">
        <v>7</v>
      </c>
      <c r="B34" s="73">
        <f t="shared" si="2"/>
        <v>293.14142784989019</v>
      </c>
      <c r="C34" s="74">
        <f t="shared" si="0"/>
        <v>264.90000000000009</v>
      </c>
      <c r="D34" s="73">
        <f t="shared" si="3"/>
        <v>95.56410547906421</v>
      </c>
      <c r="E34" s="38">
        <v>7</v>
      </c>
      <c r="F34" s="73">
        <f t="shared" si="4"/>
        <v>381.08385620485728</v>
      </c>
      <c r="G34" s="73">
        <f t="shared" si="1"/>
        <v>124.23333712278348</v>
      </c>
      <c r="I34" s="251" t="s">
        <v>69</v>
      </c>
      <c r="J34" s="252"/>
      <c r="K34" s="253"/>
      <c r="L34" s="133">
        <f>SUM(L32)</f>
        <v>0</v>
      </c>
      <c r="M34" s="8"/>
      <c r="N34" s="8"/>
    </row>
    <row r="35" spans="1:14" ht="15" customHeight="1" x14ac:dyDescent="0.2">
      <c r="A35" s="38">
        <v>6</v>
      </c>
      <c r="B35" s="73">
        <f t="shared" si="2"/>
        <v>251.26408101419162</v>
      </c>
      <c r="C35" s="74">
        <f t="shared" si="0"/>
        <v>227.05714285714285</v>
      </c>
      <c r="D35" s="73">
        <f t="shared" si="3"/>
        <v>81.912090410626476</v>
      </c>
      <c r="E35" s="38">
        <v>6</v>
      </c>
      <c r="F35" s="73">
        <f t="shared" si="4"/>
        <v>326.64330531844911</v>
      </c>
      <c r="G35" s="73">
        <f t="shared" si="1"/>
        <v>106.48571753381441</v>
      </c>
      <c r="I35" s="35"/>
      <c r="J35" s="19"/>
      <c r="K35" s="8"/>
      <c r="L35" s="118"/>
      <c r="M35" s="8"/>
      <c r="N35" s="139"/>
    </row>
    <row r="36" spans="1:14" ht="15" customHeight="1" x14ac:dyDescent="0.2">
      <c r="A36" s="38">
        <v>5</v>
      </c>
      <c r="B36" s="73">
        <f t="shared" si="2"/>
        <v>209.38673417849301</v>
      </c>
      <c r="C36" s="74">
        <f t="shared" si="0"/>
        <v>189.21428571428572</v>
      </c>
      <c r="D36" s="73">
        <f t="shared" si="3"/>
        <v>68.260075342188728</v>
      </c>
      <c r="E36" s="38">
        <v>5</v>
      </c>
      <c r="F36" s="73">
        <f t="shared" si="4"/>
        <v>272.20275443204099</v>
      </c>
      <c r="G36" s="73">
        <f t="shared" si="1"/>
        <v>88.738097944845364</v>
      </c>
      <c r="I36" s="254" t="s">
        <v>71</v>
      </c>
      <c r="J36" s="254"/>
      <c r="K36" s="254"/>
      <c r="L36" s="254"/>
      <c r="M36" s="255" t="s">
        <v>70</v>
      </c>
      <c r="N36" s="139"/>
    </row>
    <row r="37" spans="1:14" ht="15" customHeight="1" x14ac:dyDescent="0.2">
      <c r="A37" s="38">
        <v>4</v>
      </c>
      <c r="B37" s="73">
        <f t="shared" si="2"/>
        <v>167.50938734279441</v>
      </c>
      <c r="C37" s="74">
        <f t="shared" si="0"/>
        <v>151.37142857142857</v>
      </c>
      <c r="D37" s="73">
        <f t="shared" si="3"/>
        <v>54.608060273750979</v>
      </c>
      <c r="E37" s="38">
        <v>4</v>
      </c>
      <c r="F37" s="73">
        <f t="shared" si="4"/>
        <v>217.76220354563276</v>
      </c>
      <c r="G37" s="73">
        <f t="shared" si="1"/>
        <v>70.990478355876277</v>
      </c>
      <c r="I37" s="254"/>
      <c r="J37" s="254"/>
      <c r="K37" s="254"/>
      <c r="L37" s="254"/>
      <c r="M37" s="255"/>
      <c r="N37" s="139"/>
    </row>
    <row r="38" spans="1:14" ht="15" customHeight="1" x14ac:dyDescent="0.2">
      <c r="A38" s="38">
        <v>3</v>
      </c>
      <c r="B38" s="73">
        <f t="shared" si="2"/>
        <v>125.63204050709581</v>
      </c>
      <c r="C38" s="74">
        <f t="shared" si="0"/>
        <v>113.52857142857142</v>
      </c>
      <c r="D38" s="73">
        <f t="shared" si="3"/>
        <v>40.956045205313238</v>
      </c>
      <c r="E38" s="38">
        <v>3</v>
      </c>
      <c r="F38" s="73">
        <f t="shared" si="4"/>
        <v>163.32165265922455</v>
      </c>
      <c r="G38" s="73">
        <f t="shared" si="1"/>
        <v>53.242858766907204</v>
      </c>
      <c r="I38" s="5"/>
    </row>
    <row r="39" spans="1:14" ht="15" customHeight="1" x14ac:dyDescent="0.2">
      <c r="A39" s="38">
        <v>2</v>
      </c>
      <c r="B39" s="73">
        <f t="shared" si="2"/>
        <v>83.754693671397206</v>
      </c>
      <c r="C39" s="74">
        <f t="shared" si="0"/>
        <v>75.685714285714283</v>
      </c>
      <c r="D39" s="73">
        <f t="shared" si="3"/>
        <v>27.30403013687549</v>
      </c>
      <c r="E39" s="38">
        <v>2</v>
      </c>
      <c r="F39" s="73">
        <f t="shared" si="4"/>
        <v>108.88110177281638</v>
      </c>
      <c r="G39" s="73">
        <f t="shared" si="1"/>
        <v>35.495239177938139</v>
      </c>
      <c r="I39" s="5"/>
    </row>
    <row r="40" spans="1:14" ht="15" customHeight="1" x14ac:dyDescent="0.2">
      <c r="A40" s="39">
        <v>1</v>
      </c>
      <c r="B40" s="75">
        <f t="shared" si="2"/>
        <v>41.877346835698603</v>
      </c>
      <c r="C40" s="76">
        <f t="shared" si="0"/>
        <v>37.842857142857142</v>
      </c>
      <c r="D40" s="75">
        <f t="shared" si="3"/>
        <v>13.652015068437745</v>
      </c>
      <c r="E40" s="39">
        <v>1</v>
      </c>
      <c r="F40" s="75">
        <f t="shared" si="4"/>
        <v>54.44055088640819</v>
      </c>
      <c r="G40" s="75">
        <f t="shared" si="1"/>
        <v>17.747619588969069</v>
      </c>
      <c r="I40" s="5"/>
    </row>
    <row r="43" spans="1:14" s="21" customFormat="1" ht="34.5" hidden="1" customHeight="1" thickBot="1" x14ac:dyDescent="0.25">
      <c r="A43" s="193"/>
      <c r="B43" s="209" t="s">
        <v>14</v>
      </c>
      <c r="C43" s="210">
        <v>8.83</v>
      </c>
      <c r="D43" s="194"/>
      <c r="E43" s="195"/>
      <c r="F43" s="194"/>
      <c r="G43" s="194"/>
      <c r="I43" s="196"/>
    </row>
  </sheetData>
  <sheetProtection algorithmName="SHA-512" hashValue="xWbuFBQZp4tmG9mHrjqbZjdyiDclYnwFCrzRrZwe/TADnKvTbjIr/bCX6hAGUukLvi8g+Gsc799jsP1GLlHIWA==" saltValue="4Ix2VjfoJFg1mFBRspgOAg==" spinCount="100000" sheet="1" objects="1" scenarios="1"/>
  <protectedRanges>
    <protectedRange sqref="M36" name="CALCULO RC"/>
    <protectedRange sqref="L23" name="DED_1"/>
    <protectedRange sqref="L8" name="RET TC_2"/>
    <protectedRange sqref="L26" name="RET TP_1"/>
  </protectedRanges>
  <mergeCells count="35">
    <mergeCell ref="A1:G1"/>
    <mergeCell ref="B2:D2"/>
    <mergeCell ref="F2:G2"/>
    <mergeCell ref="I2:K2"/>
    <mergeCell ref="L2:M2"/>
    <mergeCell ref="I4:I5"/>
    <mergeCell ref="J4:J5"/>
    <mergeCell ref="K4:K5"/>
    <mergeCell ref="L4:L5"/>
    <mergeCell ref="M4:M5"/>
    <mergeCell ref="I8:K9"/>
    <mergeCell ref="L8:L9"/>
    <mergeCell ref="I11:L12"/>
    <mergeCell ref="I14:I15"/>
    <mergeCell ref="J14:J15"/>
    <mergeCell ref="K14:K15"/>
    <mergeCell ref="L14:L15"/>
    <mergeCell ref="I16:I17"/>
    <mergeCell ref="J16:J17"/>
    <mergeCell ref="K16:K17"/>
    <mergeCell ref="L16:L17"/>
    <mergeCell ref="I18:J18"/>
    <mergeCell ref="I20:N21"/>
    <mergeCell ref="I23:K24"/>
    <mergeCell ref="L23:L24"/>
    <mergeCell ref="I26:K27"/>
    <mergeCell ref="L26:L27"/>
    <mergeCell ref="I34:K34"/>
    <mergeCell ref="I36:L37"/>
    <mergeCell ref="M36:M37"/>
    <mergeCell ref="I29:L30"/>
    <mergeCell ref="I32:I33"/>
    <mergeCell ref="J32:J33"/>
    <mergeCell ref="K32:K33"/>
    <mergeCell ref="L32:L33"/>
  </mergeCells>
  <hyperlinks>
    <hyperlink ref="M36:M37" r:id="rId1" display="CALCULO RC"/>
  </hyperlinks>
  <pageMargins left="0.94488188976377963" right="0.94488188976377963" top="0" bottom="0.39370078740157483" header="0" footer="0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44" zoomScaleNormal="100" workbookViewId="0">
      <selection activeCell="H41" sqref="H41"/>
    </sheetView>
  </sheetViews>
  <sheetFormatPr baseColWidth="10" defaultColWidth="11.5703125" defaultRowHeight="14.25" x14ac:dyDescent="0.2"/>
  <cols>
    <col min="1" max="1" width="18.42578125" style="4" customWidth="1"/>
    <col min="2" max="2" width="24.85546875" style="4" customWidth="1"/>
    <col min="3" max="3" width="16.7109375" style="6" hidden="1" customWidth="1"/>
    <col min="4" max="4" width="18.42578125" style="4" customWidth="1"/>
    <col min="5" max="5" width="18.42578125" style="5" customWidth="1"/>
    <col min="6" max="6" width="24.85546875" style="4" customWidth="1"/>
    <col min="7" max="7" width="18.42578125" style="4" customWidth="1"/>
    <col min="8" max="8" width="11.5703125" style="5"/>
    <col min="9" max="9" width="17.85546875" style="7" customWidth="1"/>
    <col min="10" max="10" width="18.7109375" style="5" customWidth="1"/>
    <col min="11" max="11" width="19.42578125" style="5" customWidth="1"/>
    <col min="12" max="12" width="16" style="5" customWidth="1"/>
    <col min="13" max="13" width="14.42578125" style="5" customWidth="1"/>
    <col min="14" max="14" width="13.140625" style="5" bestFit="1" customWidth="1"/>
    <col min="15" max="16384" width="11.5703125" style="5"/>
  </cols>
  <sheetData>
    <row r="1" spans="1:14" s="8" customFormat="1" ht="65.25" customHeight="1" x14ac:dyDescent="0.2">
      <c r="A1" s="215" t="s">
        <v>99</v>
      </c>
      <c r="B1" s="216"/>
      <c r="C1" s="216"/>
      <c r="D1" s="216"/>
      <c r="E1" s="216"/>
      <c r="F1" s="216"/>
      <c r="G1" s="216"/>
      <c r="K1" s="19"/>
    </row>
    <row r="2" spans="1:14" s="36" customFormat="1" ht="24.75" customHeight="1" x14ac:dyDescent="0.2">
      <c r="A2" s="44"/>
      <c r="B2" s="291" t="s">
        <v>47</v>
      </c>
      <c r="C2" s="291"/>
      <c r="D2" s="292"/>
      <c r="E2" s="42"/>
      <c r="F2" s="291" t="s">
        <v>48</v>
      </c>
      <c r="G2" s="292"/>
      <c r="I2" s="217" t="s">
        <v>53</v>
      </c>
      <c r="J2" s="217"/>
      <c r="K2" s="217"/>
      <c r="L2" s="217" t="s">
        <v>57</v>
      </c>
      <c r="M2" s="217"/>
    </row>
    <row r="3" spans="1:14" s="27" customFormat="1" ht="38.25" x14ac:dyDescent="0.2">
      <c r="A3" s="43" t="s">
        <v>45</v>
      </c>
      <c r="B3" s="65" t="s">
        <v>46</v>
      </c>
      <c r="C3" s="66" t="s">
        <v>15</v>
      </c>
      <c r="D3" s="67" t="s">
        <v>49</v>
      </c>
      <c r="E3" s="40" t="s">
        <v>45</v>
      </c>
      <c r="F3" s="65" t="s">
        <v>46</v>
      </c>
      <c r="G3" s="67" t="s">
        <v>50</v>
      </c>
      <c r="I3" s="127" t="s">
        <v>52</v>
      </c>
      <c r="J3" s="127" t="s">
        <v>63</v>
      </c>
      <c r="K3" s="127" t="s">
        <v>64</v>
      </c>
      <c r="L3" s="128" t="s">
        <v>55</v>
      </c>
      <c r="M3" s="127" t="s">
        <v>56</v>
      </c>
    </row>
    <row r="4" spans="1:14" ht="15" customHeight="1" x14ac:dyDescent="0.2">
      <c r="A4" s="37">
        <v>37.5</v>
      </c>
      <c r="B4" s="71">
        <f>PARAMETROS!B6</f>
        <v>1478.0240059658331</v>
      </c>
      <c r="C4" s="72"/>
      <c r="D4" s="71"/>
      <c r="E4" s="37">
        <v>37.5</v>
      </c>
      <c r="F4" s="71">
        <f>PARAMETROS!C6</f>
        <v>1921.4312077555833</v>
      </c>
      <c r="G4" s="71">
        <f>IF(F4&gt;$K$4,$K$4*$K$18%,F4*$K$18%)</f>
        <v>626.38657372832017</v>
      </c>
      <c r="I4" s="218">
        <v>1</v>
      </c>
      <c r="J4" s="267">
        <v>1466.4</v>
      </c>
      <c r="K4" s="267">
        <v>4070.1</v>
      </c>
      <c r="L4" s="268">
        <v>1050</v>
      </c>
      <c r="M4" s="268">
        <v>4070.1</v>
      </c>
      <c r="N4" s="8"/>
    </row>
    <row r="5" spans="1:14" ht="15" customHeight="1" x14ac:dyDescent="0.2">
      <c r="A5" s="38">
        <v>36</v>
      </c>
      <c r="B5" s="73">
        <f>PRODUCT(B$4,A5)/A$4</f>
        <v>1418.9030457271999</v>
      </c>
      <c r="C5" s="74">
        <f t="shared" ref="C5:C40" si="0">(A5/$A$4*7.5*5)/7*30*$C$43</f>
        <v>1362.3428571428574</v>
      </c>
      <c r="D5" s="73">
        <f>IF(B5&lt;C5,C5*$K$18%,B5*$K$18%)</f>
        <v>462.56239290706719</v>
      </c>
      <c r="E5" s="38">
        <v>36</v>
      </c>
      <c r="F5" s="73">
        <f>PRODUCT(F$4,E5)/E$4</f>
        <v>1844.5739594453601</v>
      </c>
      <c r="G5" s="73">
        <f t="shared" ref="G5:G40" si="1">IF(F5&gt;$K$4,$K$4*$K$18%,F5*$K$18%)</f>
        <v>601.33111077918738</v>
      </c>
      <c r="I5" s="218"/>
      <c r="J5" s="267"/>
      <c r="K5" s="267"/>
      <c r="L5" s="268"/>
      <c r="M5" s="268"/>
      <c r="N5" s="8"/>
    </row>
    <row r="6" spans="1:14" ht="15" customHeight="1" x14ac:dyDescent="0.2">
      <c r="A6" s="38">
        <v>35</v>
      </c>
      <c r="B6" s="73">
        <f t="shared" ref="B6:B40" si="2">PRODUCT(B$4,A6)/A$4</f>
        <v>1379.4890722347777</v>
      </c>
      <c r="C6" s="74">
        <f t="shared" si="0"/>
        <v>1324.5</v>
      </c>
      <c r="D6" s="73">
        <f t="shared" ref="D6:D40" si="3">IF(B6&lt;C6,C6*$K$18%,B6*$K$18%)</f>
        <v>449.71343754853757</v>
      </c>
      <c r="E6" s="38">
        <v>35</v>
      </c>
      <c r="F6" s="73">
        <f t="shared" ref="F6:F40" si="4">PRODUCT(F$4,E6)/E$4</f>
        <v>1793.3357939052112</v>
      </c>
      <c r="G6" s="73">
        <f t="shared" si="1"/>
        <v>584.62746881309886</v>
      </c>
      <c r="I6" s="35"/>
      <c r="J6" s="8"/>
      <c r="K6" s="8"/>
      <c r="L6" s="118"/>
      <c r="M6" s="8"/>
      <c r="N6" s="8"/>
    </row>
    <row r="7" spans="1:14" ht="15" customHeight="1" thickBot="1" x14ac:dyDescent="0.25">
      <c r="A7" s="38">
        <v>34</v>
      </c>
      <c r="B7" s="73">
        <f t="shared" si="2"/>
        <v>1340.0750987423553</v>
      </c>
      <c r="C7" s="74">
        <f t="shared" si="0"/>
        <v>1286.6571428571426</v>
      </c>
      <c r="D7" s="73">
        <f t="shared" si="3"/>
        <v>436.86448219000783</v>
      </c>
      <c r="E7" s="38">
        <v>34</v>
      </c>
      <c r="F7" s="73">
        <f t="shared" si="4"/>
        <v>1742.0976283650623</v>
      </c>
      <c r="G7" s="73">
        <f t="shared" si="1"/>
        <v>567.92382684701033</v>
      </c>
      <c r="I7" s="35"/>
      <c r="J7" s="19"/>
      <c r="K7" s="8"/>
      <c r="L7" s="118"/>
      <c r="M7" s="8"/>
      <c r="N7" s="8"/>
    </row>
    <row r="8" spans="1:14" ht="15" customHeight="1" x14ac:dyDescent="0.2">
      <c r="A8" s="38">
        <v>33</v>
      </c>
      <c r="B8" s="73">
        <f t="shared" si="2"/>
        <v>1300.6611252499331</v>
      </c>
      <c r="C8" s="74">
        <f t="shared" si="0"/>
        <v>1248.8142857142859</v>
      </c>
      <c r="D8" s="73">
        <f t="shared" si="3"/>
        <v>424.01552683147821</v>
      </c>
      <c r="E8" s="38">
        <v>33</v>
      </c>
      <c r="F8" s="73">
        <f t="shared" si="4"/>
        <v>1690.8594628249132</v>
      </c>
      <c r="G8" s="73">
        <f t="shared" si="1"/>
        <v>551.22018488092169</v>
      </c>
      <c r="I8" s="229" t="s">
        <v>103</v>
      </c>
      <c r="J8" s="229"/>
      <c r="K8" s="230"/>
      <c r="L8" s="227">
        <v>0</v>
      </c>
      <c r="M8" s="8"/>
      <c r="N8" s="155"/>
    </row>
    <row r="9" spans="1:14" ht="15" customHeight="1" thickBot="1" x14ac:dyDescent="0.25">
      <c r="A9" s="38">
        <v>32</v>
      </c>
      <c r="B9" s="73">
        <f t="shared" si="2"/>
        <v>1261.2471517575109</v>
      </c>
      <c r="C9" s="74">
        <f t="shared" si="0"/>
        <v>1210.9714285714285</v>
      </c>
      <c r="D9" s="73">
        <f t="shared" si="3"/>
        <v>411.16657147294859</v>
      </c>
      <c r="E9" s="38">
        <v>32</v>
      </c>
      <c r="F9" s="73">
        <f t="shared" si="4"/>
        <v>1639.6212972847643</v>
      </c>
      <c r="G9" s="73">
        <f t="shared" si="1"/>
        <v>534.51654291483317</v>
      </c>
      <c r="I9" s="229"/>
      <c r="J9" s="229"/>
      <c r="K9" s="230"/>
      <c r="L9" s="228"/>
      <c r="M9" s="8"/>
      <c r="N9" s="8"/>
    </row>
    <row r="10" spans="1:14" ht="15" customHeight="1" thickBot="1" x14ac:dyDescent="0.25">
      <c r="A10" s="38">
        <v>31</v>
      </c>
      <c r="B10" s="73">
        <f t="shared" si="2"/>
        <v>1221.8331782650887</v>
      </c>
      <c r="C10" s="74">
        <f t="shared" si="0"/>
        <v>1173.1285714285714</v>
      </c>
      <c r="D10" s="73">
        <f t="shared" si="3"/>
        <v>398.31761611441891</v>
      </c>
      <c r="E10" s="38">
        <v>31</v>
      </c>
      <c r="F10" s="73">
        <f t="shared" si="4"/>
        <v>1588.3831317446156</v>
      </c>
      <c r="G10" s="73">
        <f t="shared" si="1"/>
        <v>517.81290094874475</v>
      </c>
      <c r="I10" s="123"/>
      <c r="J10" s="124"/>
      <c r="K10" s="125"/>
      <c r="L10" s="126"/>
      <c r="M10" s="8"/>
      <c r="N10" s="8"/>
    </row>
    <row r="11" spans="1:14" ht="15" customHeight="1" x14ac:dyDescent="0.2">
      <c r="A11" s="38">
        <v>30</v>
      </c>
      <c r="B11" s="73">
        <f t="shared" si="2"/>
        <v>1182.4192047726665</v>
      </c>
      <c r="C11" s="74">
        <f t="shared" si="0"/>
        <v>1135.2857142857142</v>
      </c>
      <c r="D11" s="73">
        <f t="shared" si="3"/>
        <v>385.46866075588929</v>
      </c>
      <c r="E11" s="38">
        <v>30</v>
      </c>
      <c r="F11" s="73">
        <f t="shared" si="4"/>
        <v>1537.1449662044665</v>
      </c>
      <c r="G11" s="73">
        <f t="shared" si="1"/>
        <v>501.10925898265612</v>
      </c>
      <c r="I11" s="231" t="s">
        <v>65</v>
      </c>
      <c r="J11" s="232"/>
      <c r="K11" s="232"/>
      <c r="L11" s="233"/>
      <c r="M11" s="8"/>
      <c r="N11" s="8"/>
    </row>
    <row r="12" spans="1:14" ht="15" customHeight="1" thickBot="1" x14ac:dyDescent="0.25">
      <c r="A12" s="38">
        <v>29</v>
      </c>
      <c r="B12" s="73">
        <f t="shared" si="2"/>
        <v>1143.0052312802443</v>
      </c>
      <c r="C12" s="74">
        <f t="shared" si="0"/>
        <v>1097.4428571428573</v>
      </c>
      <c r="D12" s="73">
        <f t="shared" si="3"/>
        <v>372.61970539735967</v>
      </c>
      <c r="E12" s="38">
        <v>29</v>
      </c>
      <c r="F12" s="73">
        <f t="shared" si="4"/>
        <v>1485.9068006643176</v>
      </c>
      <c r="G12" s="73">
        <f t="shared" si="1"/>
        <v>484.40561701656759</v>
      </c>
      <c r="I12" s="234"/>
      <c r="J12" s="235"/>
      <c r="K12" s="235"/>
      <c r="L12" s="236"/>
      <c r="M12" s="8"/>
      <c r="N12" s="8"/>
    </row>
    <row r="13" spans="1:14" ht="15" customHeight="1" thickBot="1" x14ac:dyDescent="0.25">
      <c r="A13" s="38">
        <v>28</v>
      </c>
      <c r="B13" s="73">
        <f t="shared" si="2"/>
        <v>1103.5912577878221</v>
      </c>
      <c r="C13" s="74">
        <f t="shared" si="0"/>
        <v>1059.6000000000004</v>
      </c>
      <c r="D13" s="73">
        <f t="shared" si="3"/>
        <v>359.77075003882999</v>
      </c>
      <c r="E13" s="38">
        <v>28</v>
      </c>
      <c r="F13" s="73">
        <f t="shared" si="4"/>
        <v>1434.6686351241688</v>
      </c>
      <c r="G13" s="73">
        <f t="shared" si="1"/>
        <v>467.70197505047901</v>
      </c>
      <c r="I13" s="120"/>
      <c r="J13" s="121" t="s">
        <v>58</v>
      </c>
      <c r="K13" s="136" t="s">
        <v>59</v>
      </c>
      <c r="L13" s="122" t="s">
        <v>60</v>
      </c>
      <c r="M13" s="8"/>
      <c r="N13" s="8"/>
    </row>
    <row r="14" spans="1:14" ht="15" customHeight="1" x14ac:dyDescent="0.2">
      <c r="A14" s="38">
        <v>27</v>
      </c>
      <c r="B14" s="73">
        <f t="shared" si="2"/>
        <v>1064.1772842953999</v>
      </c>
      <c r="C14" s="74">
        <f t="shared" si="0"/>
        <v>1021.7571428571429</v>
      </c>
      <c r="D14" s="73">
        <f t="shared" si="3"/>
        <v>346.92179468030037</v>
      </c>
      <c r="E14" s="38">
        <v>27</v>
      </c>
      <c r="F14" s="73">
        <f t="shared" si="4"/>
        <v>1383.4304695840199</v>
      </c>
      <c r="G14" s="73">
        <f t="shared" si="1"/>
        <v>450.99833308439048</v>
      </c>
      <c r="I14" s="237" t="s">
        <v>61</v>
      </c>
      <c r="J14" s="239">
        <f>IF(L8&gt;=J4,L8,J4)</f>
        <v>1466.4</v>
      </c>
      <c r="K14" s="241">
        <v>23.6</v>
      </c>
      <c r="L14" s="247">
        <f>J14*K14%</f>
        <v>346.07040000000006</v>
      </c>
      <c r="M14" s="8"/>
      <c r="N14" s="8"/>
    </row>
    <row r="15" spans="1:14" ht="15" customHeight="1" thickBot="1" x14ac:dyDescent="0.25">
      <c r="A15" s="38">
        <v>26</v>
      </c>
      <c r="B15" s="73">
        <f t="shared" si="2"/>
        <v>1024.7633108029777</v>
      </c>
      <c r="C15" s="74">
        <f t="shared" si="0"/>
        <v>983.91428571428571</v>
      </c>
      <c r="D15" s="73">
        <f t="shared" si="3"/>
        <v>334.07283932177074</v>
      </c>
      <c r="E15" s="38">
        <v>26</v>
      </c>
      <c r="F15" s="73">
        <f t="shared" si="4"/>
        <v>1332.1923040438712</v>
      </c>
      <c r="G15" s="73">
        <f t="shared" si="1"/>
        <v>434.29469111830201</v>
      </c>
      <c r="I15" s="238"/>
      <c r="J15" s="240"/>
      <c r="K15" s="242"/>
      <c r="L15" s="248"/>
      <c r="M15" s="8"/>
      <c r="N15" s="8"/>
    </row>
    <row r="16" spans="1:14" ht="15" customHeight="1" x14ac:dyDescent="0.2">
      <c r="A16" s="38">
        <v>25</v>
      </c>
      <c r="B16" s="73">
        <f t="shared" si="2"/>
        <v>985.34933731055548</v>
      </c>
      <c r="C16" s="74">
        <f t="shared" si="0"/>
        <v>946.07142857142867</v>
      </c>
      <c r="D16" s="73">
        <f t="shared" si="3"/>
        <v>321.22388396324112</v>
      </c>
      <c r="E16" s="38">
        <v>25</v>
      </c>
      <c r="F16" s="73">
        <f t="shared" si="4"/>
        <v>1280.9541385037221</v>
      </c>
      <c r="G16" s="73">
        <f t="shared" si="1"/>
        <v>417.59104915221343</v>
      </c>
      <c r="I16" s="245" t="s">
        <v>62</v>
      </c>
      <c r="J16" s="239">
        <f>IF(L8&gt;=L4,L8,L4)</f>
        <v>1050</v>
      </c>
      <c r="K16" s="241">
        <v>9</v>
      </c>
      <c r="L16" s="243">
        <f>J16*K16%</f>
        <v>94.5</v>
      </c>
      <c r="M16" s="8"/>
      <c r="N16" s="8"/>
    </row>
    <row r="17" spans="1:14" ht="15" customHeight="1" thickBot="1" x14ac:dyDescent="0.25">
      <c r="A17" s="38">
        <v>24</v>
      </c>
      <c r="B17" s="73">
        <f t="shared" si="2"/>
        <v>945.93536381813306</v>
      </c>
      <c r="C17" s="74">
        <f t="shared" si="0"/>
        <v>908.2285714285714</v>
      </c>
      <c r="D17" s="73">
        <f t="shared" si="3"/>
        <v>308.37492860471139</v>
      </c>
      <c r="E17" s="38">
        <v>24</v>
      </c>
      <c r="F17" s="73">
        <f t="shared" si="4"/>
        <v>1229.7159729635732</v>
      </c>
      <c r="G17" s="73">
        <f t="shared" si="1"/>
        <v>400.8874071861249</v>
      </c>
      <c r="I17" s="246"/>
      <c r="J17" s="240"/>
      <c r="K17" s="242">
        <v>0.2</v>
      </c>
      <c r="L17" s="244"/>
      <c r="M17" s="8"/>
      <c r="N17" s="8"/>
    </row>
    <row r="18" spans="1:14" ht="15" customHeight="1" thickBot="1" x14ac:dyDescent="0.25">
      <c r="A18" s="38">
        <v>23</v>
      </c>
      <c r="B18" s="73">
        <f t="shared" si="2"/>
        <v>906.52139032571097</v>
      </c>
      <c r="C18" s="74">
        <f t="shared" si="0"/>
        <v>870.38571428571424</v>
      </c>
      <c r="D18" s="73">
        <f t="shared" si="3"/>
        <v>295.52597324618176</v>
      </c>
      <c r="E18" s="38">
        <v>23</v>
      </c>
      <c r="F18" s="73">
        <f t="shared" si="4"/>
        <v>1178.4778074234246</v>
      </c>
      <c r="G18" s="73">
        <f t="shared" si="1"/>
        <v>384.18376522003643</v>
      </c>
      <c r="I18" s="225" t="s">
        <v>66</v>
      </c>
      <c r="J18" s="226"/>
      <c r="K18" s="137">
        <f>(K14+K16)</f>
        <v>32.6</v>
      </c>
      <c r="L18" s="133">
        <f>SUM(L14:L17)</f>
        <v>440.57040000000006</v>
      </c>
      <c r="M18" s="8"/>
      <c r="N18" s="8"/>
    </row>
    <row r="19" spans="1:14" ht="15" customHeight="1" x14ac:dyDescent="0.2">
      <c r="A19" s="38">
        <v>22</v>
      </c>
      <c r="B19" s="73">
        <f t="shared" si="2"/>
        <v>867.10741683328877</v>
      </c>
      <c r="C19" s="74">
        <f t="shared" si="0"/>
        <v>832.54285714285709</v>
      </c>
      <c r="D19" s="73">
        <f t="shared" si="3"/>
        <v>282.67701788765214</v>
      </c>
      <c r="E19" s="38">
        <v>22</v>
      </c>
      <c r="F19" s="73">
        <f t="shared" si="4"/>
        <v>1127.2396418832755</v>
      </c>
      <c r="G19" s="73">
        <f t="shared" si="1"/>
        <v>367.4801232539478</v>
      </c>
      <c r="I19" s="129"/>
      <c r="J19" s="130"/>
      <c r="K19" s="131"/>
      <c r="L19" s="132"/>
      <c r="M19" s="8"/>
      <c r="N19" s="8"/>
    </row>
    <row r="20" spans="1:14" ht="15" customHeight="1" x14ac:dyDescent="0.2">
      <c r="A20" s="38">
        <v>21</v>
      </c>
      <c r="B20" s="73">
        <f t="shared" si="2"/>
        <v>827.69344334086657</v>
      </c>
      <c r="C20" s="74">
        <f t="shared" si="0"/>
        <v>794.7</v>
      </c>
      <c r="D20" s="73">
        <f t="shared" si="3"/>
        <v>269.82806252912252</v>
      </c>
      <c r="E20" s="38">
        <v>21</v>
      </c>
      <c r="F20" s="73">
        <f t="shared" si="4"/>
        <v>1076.0014763431266</v>
      </c>
      <c r="G20" s="73">
        <f t="shared" si="1"/>
        <v>350.77648128785927</v>
      </c>
      <c r="I20" s="269" t="s">
        <v>83</v>
      </c>
      <c r="J20" s="269"/>
      <c r="K20" s="269"/>
      <c r="L20" s="269"/>
      <c r="M20" s="269"/>
      <c r="N20" s="269"/>
    </row>
    <row r="21" spans="1:14" ht="15" customHeight="1" x14ac:dyDescent="0.2">
      <c r="A21" s="38">
        <v>20</v>
      </c>
      <c r="B21" s="73">
        <f t="shared" si="2"/>
        <v>788.27946984844436</v>
      </c>
      <c r="C21" s="74">
        <f t="shared" si="0"/>
        <v>756.85714285714289</v>
      </c>
      <c r="D21" s="73">
        <f t="shared" si="3"/>
        <v>256.9791071705929</v>
      </c>
      <c r="E21" s="38">
        <v>20</v>
      </c>
      <c r="F21" s="73">
        <f t="shared" si="4"/>
        <v>1024.7633108029779</v>
      </c>
      <c r="G21" s="73">
        <f t="shared" si="1"/>
        <v>334.0728393217708</v>
      </c>
      <c r="I21" s="269"/>
      <c r="J21" s="269"/>
      <c r="K21" s="269"/>
      <c r="L21" s="269"/>
      <c r="M21" s="269"/>
      <c r="N21" s="269"/>
    </row>
    <row r="22" spans="1:14" ht="15" customHeight="1" thickBot="1" x14ac:dyDescent="0.25">
      <c r="A22" s="38">
        <v>19</v>
      </c>
      <c r="B22" s="73">
        <f t="shared" si="2"/>
        <v>748.86549635602205</v>
      </c>
      <c r="C22" s="74">
        <f t="shared" si="0"/>
        <v>719.01428571428573</v>
      </c>
      <c r="D22" s="73">
        <f t="shared" si="3"/>
        <v>244.13015181206319</v>
      </c>
      <c r="E22" s="38">
        <v>19</v>
      </c>
      <c r="F22" s="73">
        <f t="shared" si="4"/>
        <v>973.5251452628288</v>
      </c>
      <c r="G22" s="73">
        <f t="shared" si="1"/>
        <v>317.36919735568222</v>
      </c>
      <c r="I22" s="35"/>
      <c r="J22" s="19"/>
      <c r="K22" s="8"/>
      <c r="L22" s="118"/>
      <c r="M22" s="8"/>
      <c r="N22" s="8"/>
    </row>
    <row r="23" spans="1:14" ht="15" customHeight="1" x14ac:dyDescent="0.2">
      <c r="A23" s="38">
        <v>18</v>
      </c>
      <c r="B23" s="73">
        <f t="shared" si="2"/>
        <v>709.45152286359996</v>
      </c>
      <c r="C23" s="74">
        <f t="shared" si="0"/>
        <v>681.17142857142869</v>
      </c>
      <c r="D23" s="73">
        <f t="shared" si="3"/>
        <v>231.2811964535336</v>
      </c>
      <c r="E23" s="38">
        <v>18</v>
      </c>
      <c r="F23" s="73">
        <f t="shared" si="4"/>
        <v>922.28697972268003</v>
      </c>
      <c r="G23" s="73">
        <f t="shared" si="1"/>
        <v>300.66555538959369</v>
      </c>
      <c r="I23" s="229" t="s">
        <v>67</v>
      </c>
      <c r="J23" s="229"/>
      <c r="K23" s="230"/>
      <c r="L23" s="249">
        <v>0</v>
      </c>
      <c r="M23" s="8"/>
      <c r="N23" s="8"/>
    </row>
    <row r="24" spans="1:14" ht="15" customHeight="1" thickBot="1" x14ac:dyDescent="0.25">
      <c r="A24" s="38">
        <v>17</v>
      </c>
      <c r="B24" s="73">
        <f t="shared" si="2"/>
        <v>670.03754937117765</v>
      </c>
      <c r="C24" s="74">
        <f t="shared" si="0"/>
        <v>643.32857142857131</v>
      </c>
      <c r="D24" s="73">
        <f t="shared" si="3"/>
        <v>218.43224109500392</v>
      </c>
      <c r="E24" s="38">
        <v>17</v>
      </c>
      <c r="F24" s="73">
        <f t="shared" si="4"/>
        <v>871.04881418253115</v>
      </c>
      <c r="G24" s="73">
        <f t="shared" si="1"/>
        <v>283.96191342350517</v>
      </c>
      <c r="I24" s="229"/>
      <c r="J24" s="229"/>
      <c r="K24" s="230"/>
      <c r="L24" s="250"/>
      <c r="M24" s="8"/>
      <c r="N24" s="8"/>
    </row>
    <row r="25" spans="1:14" ht="15" customHeight="1" thickBot="1" x14ac:dyDescent="0.25">
      <c r="A25" s="38">
        <v>16</v>
      </c>
      <c r="B25" s="73">
        <f t="shared" si="2"/>
        <v>630.62357587875545</v>
      </c>
      <c r="C25" s="74">
        <f t="shared" si="0"/>
        <v>605.48571428571427</v>
      </c>
      <c r="D25" s="73">
        <f t="shared" si="3"/>
        <v>205.58328573647429</v>
      </c>
      <c r="E25" s="38">
        <v>16</v>
      </c>
      <c r="F25" s="73">
        <f t="shared" si="4"/>
        <v>819.81064864238215</v>
      </c>
      <c r="G25" s="73">
        <f t="shared" si="1"/>
        <v>267.25827145741658</v>
      </c>
      <c r="I25" s="35"/>
      <c r="J25" s="19"/>
      <c r="K25" s="8"/>
      <c r="L25" s="118"/>
      <c r="M25" s="8"/>
      <c r="N25" s="8"/>
    </row>
    <row r="26" spans="1:14" ht="15" customHeight="1" x14ac:dyDescent="0.2">
      <c r="A26" s="38">
        <v>15</v>
      </c>
      <c r="B26" s="73">
        <f t="shared" si="2"/>
        <v>591.20960238633324</v>
      </c>
      <c r="C26" s="74">
        <f t="shared" si="0"/>
        <v>567.64285714285711</v>
      </c>
      <c r="D26" s="73">
        <f t="shared" si="3"/>
        <v>192.73433037794464</v>
      </c>
      <c r="E26" s="38">
        <v>15</v>
      </c>
      <c r="F26" s="73">
        <f t="shared" si="4"/>
        <v>768.57248310223326</v>
      </c>
      <c r="G26" s="73">
        <f t="shared" si="1"/>
        <v>250.55462949132806</v>
      </c>
      <c r="I26" s="229" t="s">
        <v>72</v>
      </c>
      <c r="J26" s="229"/>
      <c r="K26" s="230"/>
      <c r="L26" s="227">
        <v>0</v>
      </c>
      <c r="M26" s="8"/>
      <c r="N26" s="8"/>
    </row>
    <row r="27" spans="1:14" ht="15" customHeight="1" thickBot="1" x14ac:dyDescent="0.25">
      <c r="A27" s="38">
        <v>14</v>
      </c>
      <c r="B27" s="73">
        <f t="shared" si="2"/>
        <v>551.79562889391104</v>
      </c>
      <c r="C27" s="74">
        <f t="shared" si="0"/>
        <v>529.80000000000018</v>
      </c>
      <c r="D27" s="73">
        <f t="shared" si="3"/>
        <v>179.88537501941499</v>
      </c>
      <c r="E27" s="38">
        <v>14</v>
      </c>
      <c r="F27" s="73">
        <f t="shared" si="4"/>
        <v>717.33431756208438</v>
      </c>
      <c r="G27" s="73">
        <f t="shared" si="1"/>
        <v>233.8509875252395</v>
      </c>
      <c r="I27" s="229"/>
      <c r="J27" s="229"/>
      <c r="K27" s="230"/>
      <c r="L27" s="228"/>
      <c r="M27" s="8"/>
      <c r="N27" s="8"/>
    </row>
    <row r="28" spans="1:14" ht="15" customHeight="1" thickBot="1" x14ac:dyDescent="0.25">
      <c r="A28" s="38">
        <v>13</v>
      </c>
      <c r="B28" s="73">
        <f t="shared" si="2"/>
        <v>512.38165540148884</v>
      </c>
      <c r="C28" s="74">
        <f t="shared" si="0"/>
        <v>491.95714285714286</v>
      </c>
      <c r="D28" s="73">
        <f t="shared" si="3"/>
        <v>167.03641966088537</v>
      </c>
      <c r="E28" s="38">
        <v>13</v>
      </c>
      <c r="F28" s="73">
        <f t="shared" si="4"/>
        <v>666.09615202193561</v>
      </c>
      <c r="G28" s="73">
        <f t="shared" si="1"/>
        <v>217.14734555915101</v>
      </c>
      <c r="I28" s="35"/>
      <c r="J28" s="19"/>
      <c r="K28" s="8"/>
      <c r="L28" s="118"/>
      <c r="M28" s="8"/>
      <c r="N28" s="8"/>
    </row>
    <row r="29" spans="1:14" ht="15" customHeight="1" x14ac:dyDescent="0.2">
      <c r="A29" s="38">
        <v>12</v>
      </c>
      <c r="B29" s="73">
        <f t="shared" si="2"/>
        <v>472.96768190906653</v>
      </c>
      <c r="C29" s="74">
        <f t="shared" si="0"/>
        <v>454.1142857142857</v>
      </c>
      <c r="D29" s="73">
        <f t="shared" si="3"/>
        <v>154.18746430235569</v>
      </c>
      <c r="E29" s="38">
        <v>12</v>
      </c>
      <c r="F29" s="73">
        <f t="shared" si="4"/>
        <v>614.85798648178661</v>
      </c>
      <c r="G29" s="73">
        <f t="shared" si="1"/>
        <v>200.44370359306245</v>
      </c>
      <c r="I29" s="231" t="s">
        <v>68</v>
      </c>
      <c r="J29" s="232"/>
      <c r="K29" s="232"/>
      <c r="L29" s="233"/>
      <c r="M29" s="8"/>
      <c r="N29" s="8"/>
    </row>
    <row r="30" spans="1:14" ht="15" customHeight="1" thickBot="1" x14ac:dyDescent="0.25">
      <c r="A30" s="38">
        <v>11</v>
      </c>
      <c r="B30" s="73">
        <f t="shared" si="2"/>
        <v>433.55370841664438</v>
      </c>
      <c r="C30" s="74">
        <f t="shared" si="0"/>
        <v>416.27142857142854</v>
      </c>
      <c r="D30" s="73">
        <f t="shared" si="3"/>
        <v>141.33850894382607</v>
      </c>
      <c r="E30" s="38">
        <v>11</v>
      </c>
      <c r="F30" s="73">
        <f t="shared" si="4"/>
        <v>563.61982094163773</v>
      </c>
      <c r="G30" s="73">
        <f t="shared" si="1"/>
        <v>183.7400616269739</v>
      </c>
      <c r="I30" s="234"/>
      <c r="J30" s="235"/>
      <c r="K30" s="235"/>
      <c r="L30" s="236"/>
      <c r="M30" s="8"/>
      <c r="N30" s="8"/>
    </row>
    <row r="31" spans="1:14" ht="15" customHeight="1" thickBot="1" x14ac:dyDescent="0.25">
      <c r="A31" s="38">
        <v>10</v>
      </c>
      <c r="B31" s="73">
        <f t="shared" si="2"/>
        <v>394.13973492422218</v>
      </c>
      <c r="C31" s="74">
        <f t="shared" si="0"/>
        <v>378.42857142857144</v>
      </c>
      <c r="D31" s="73">
        <f t="shared" si="3"/>
        <v>128.48955358529645</v>
      </c>
      <c r="E31" s="38">
        <v>10</v>
      </c>
      <c r="F31" s="73">
        <f t="shared" si="4"/>
        <v>512.38165540148896</v>
      </c>
      <c r="G31" s="73">
        <f t="shared" si="1"/>
        <v>167.0364196608854</v>
      </c>
      <c r="I31" s="140" t="s">
        <v>73</v>
      </c>
      <c r="J31" s="138" t="s">
        <v>58</v>
      </c>
      <c r="K31" s="136" t="s">
        <v>74</v>
      </c>
      <c r="L31" s="122" t="s">
        <v>60</v>
      </c>
      <c r="M31" s="8"/>
      <c r="N31" s="8"/>
    </row>
    <row r="32" spans="1:14" ht="15" customHeight="1" x14ac:dyDescent="0.2">
      <c r="A32" s="38">
        <v>9</v>
      </c>
      <c r="B32" s="73">
        <f t="shared" si="2"/>
        <v>354.72576143179998</v>
      </c>
      <c r="C32" s="74">
        <f t="shared" si="0"/>
        <v>340.58571428571435</v>
      </c>
      <c r="D32" s="73">
        <f t="shared" si="3"/>
        <v>115.6405982267668</v>
      </c>
      <c r="E32" s="38">
        <v>9</v>
      </c>
      <c r="F32" s="73">
        <f t="shared" si="4"/>
        <v>461.14348986134002</v>
      </c>
      <c r="G32" s="73">
        <f t="shared" si="1"/>
        <v>150.33277769479685</v>
      </c>
      <c r="I32" s="256">
        <f>((L23/37.5*7.5*5)/7)*30*$C$43</f>
        <v>0</v>
      </c>
      <c r="J32" s="258">
        <f>IF(L26&lt;I32,I32,L26)</f>
        <v>0</v>
      </c>
      <c r="K32" s="260">
        <v>32.6</v>
      </c>
      <c r="L32" s="243">
        <f>J32*K32%</f>
        <v>0</v>
      </c>
      <c r="M32" s="8"/>
      <c r="N32" s="8"/>
    </row>
    <row r="33" spans="1:14" ht="15" customHeight="1" thickBot="1" x14ac:dyDescent="0.25">
      <c r="A33" s="38">
        <v>8</v>
      </c>
      <c r="B33" s="73">
        <f t="shared" si="2"/>
        <v>315.31178793937772</v>
      </c>
      <c r="C33" s="74">
        <f t="shared" si="0"/>
        <v>302.74285714285713</v>
      </c>
      <c r="D33" s="73">
        <f t="shared" si="3"/>
        <v>102.79164286823715</v>
      </c>
      <c r="E33" s="38">
        <v>8</v>
      </c>
      <c r="F33" s="73">
        <f t="shared" si="4"/>
        <v>409.90532432119107</v>
      </c>
      <c r="G33" s="73">
        <f t="shared" si="1"/>
        <v>133.62913572870829</v>
      </c>
      <c r="I33" s="257"/>
      <c r="J33" s="259"/>
      <c r="K33" s="261"/>
      <c r="L33" s="262"/>
      <c r="M33" s="8"/>
      <c r="N33" s="8"/>
    </row>
    <row r="34" spans="1:14" ht="15" customHeight="1" thickBot="1" x14ac:dyDescent="0.25">
      <c r="A34" s="38">
        <v>7</v>
      </c>
      <c r="B34" s="73">
        <f t="shared" si="2"/>
        <v>275.89781444695552</v>
      </c>
      <c r="C34" s="74">
        <f t="shared" si="0"/>
        <v>264.90000000000009</v>
      </c>
      <c r="D34" s="73">
        <f t="shared" si="3"/>
        <v>89.942687509707497</v>
      </c>
      <c r="E34" s="38">
        <v>7</v>
      </c>
      <c r="F34" s="73">
        <f t="shared" si="4"/>
        <v>358.66715878104219</v>
      </c>
      <c r="G34" s="73">
        <f t="shared" si="1"/>
        <v>116.92549376261975</v>
      </c>
      <c r="I34" s="251" t="s">
        <v>69</v>
      </c>
      <c r="J34" s="252"/>
      <c r="K34" s="253"/>
      <c r="L34" s="133">
        <f>SUM(L32)</f>
        <v>0</v>
      </c>
      <c r="M34" s="8"/>
      <c r="N34" s="8"/>
    </row>
    <row r="35" spans="1:14" ht="15" customHeight="1" x14ac:dyDescent="0.2">
      <c r="A35" s="38">
        <v>6</v>
      </c>
      <c r="B35" s="73">
        <f t="shared" si="2"/>
        <v>236.48384095453326</v>
      </c>
      <c r="C35" s="74">
        <f t="shared" si="0"/>
        <v>227.05714285714285</v>
      </c>
      <c r="D35" s="73">
        <f t="shared" si="3"/>
        <v>77.093732151177846</v>
      </c>
      <c r="E35" s="38">
        <v>6</v>
      </c>
      <c r="F35" s="73">
        <f t="shared" si="4"/>
        <v>307.42899324089331</v>
      </c>
      <c r="G35" s="73">
        <f t="shared" si="1"/>
        <v>100.22185179653123</v>
      </c>
      <c r="I35" s="35"/>
      <c r="J35" s="19"/>
      <c r="K35" s="8"/>
      <c r="L35" s="118"/>
      <c r="M35" s="8"/>
      <c r="N35" s="139"/>
    </row>
    <row r="36" spans="1:14" ht="15" customHeight="1" x14ac:dyDescent="0.2">
      <c r="A36" s="38">
        <v>5</v>
      </c>
      <c r="B36" s="73">
        <f t="shared" si="2"/>
        <v>197.06986746211109</v>
      </c>
      <c r="C36" s="74">
        <f t="shared" si="0"/>
        <v>189.21428571428572</v>
      </c>
      <c r="D36" s="73">
        <f t="shared" si="3"/>
        <v>64.244776792648224</v>
      </c>
      <c r="E36" s="38">
        <v>5</v>
      </c>
      <c r="F36" s="73">
        <f t="shared" si="4"/>
        <v>256.19082770074448</v>
      </c>
      <c r="G36" s="73">
        <f t="shared" si="1"/>
        <v>83.5182098304427</v>
      </c>
      <c r="I36" s="254" t="s">
        <v>71</v>
      </c>
      <c r="J36" s="254"/>
      <c r="K36" s="254"/>
      <c r="L36" s="254"/>
      <c r="M36" s="255" t="s">
        <v>70</v>
      </c>
      <c r="N36" s="139"/>
    </row>
    <row r="37" spans="1:14" ht="15" customHeight="1" x14ac:dyDescent="0.2">
      <c r="A37" s="38">
        <v>4</v>
      </c>
      <c r="B37" s="73">
        <f t="shared" si="2"/>
        <v>157.65589396968886</v>
      </c>
      <c r="C37" s="74">
        <f t="shared" si="0"/>
        <v>151.37142857142857</v>
      </c>
      <c r="D37" s="73">
        <f t="shared" si="3"/>
        <v>51.395821434118574</v>
      </c>
      <c r="E37" s="38">
        <v>4</v>
      </c>
      <c r="F37" s="73">
        <f t="shared" si="4"/>
        <v>204.95266216059554</v>
      </c>
      <c r="G37" s="73">
        <f t="shared" si="1"/>
        <v>66.814567864354146</v>
      </c>
      <c r="I37" s="254"/>
      <c r="J37" s="254"/>
      <c r="K37" s="254"/>
      <c r="L37" s="254"/>
      <c r="M37" s="255"/>
      <c r="N37" s="139"/>
    </row>
    <row r="38" spans="1:14" ht="15" customHeight="1" x14ac:dyDescent="0.2">
      <c r="A38" s="38">
        <v>3</v>
      </c>
      <c r="B38" s="73">
        <f t="shared" si="2"/>
        <v>118.24192047726663</v>
      </c>
      <c r="C38" s="74">
        <f t="shared" si="0"/>
        <v>113.52857142857142</v>
      </c>
      <c r="D38" s="73">
        <f t="shared" si="3"/>
        <v>38.546866075588923</v>
      </c>
      <c r="E38" s="38">
        <v>3</v>
      </c>
      <c r="F38" s="73">
        <f t="shared" si="4"/>
        <v>153.71449662044665</v>
      </c>
      <c r="G38" s="73">
        <f t="shared" si="1"/>
        <v>50.110925898265613</v>
      </c>
      <c r="I38" s="5"/>
    </row>
    <row r="39" spans="1:14" ht="15" customHeight="1" x14ac:dyDescent="0.2">
      <c r="A39" s="38">
        <v>2</v>
      </c>
      <c r="B39" s="73">
        <f t="shared" si="2"/>
        <v>78.827946984844431</v>
      </c>
      <c r="C39" s="74">
        <f t="shared" si="0"/>
        <v>75.685714285714283</v>
      </c>
      <c r="D39" s="73">
        <f t="shared" si="3"/>
        <v>25.697910717059287</v>
      </c>
      <c r="E39" s="38">
        <v>2</v>
      </c>
      <c r="F39" s="73">
        <f t="shared" si="4"/>
        <v>102.47633108029777</v>
      </c>
      <c r="G39" s="73">
        <f t="shared" si="1"/>
        <v>33.407283932177073</v>
      </c>
      <c r="I39" s="5"/>
    </row>
    <row r="40" spans="1:14" ht="15" customHeight="1" x14ac:dyDescent="0.2">
      <c r="A40" s="39">
        <v>1</v>
      </c>
      <c r="B40" s="75">
        <f t="shared" si="2"/>
        <v>39.413973492422215</v>
      </c>
      <c r="C40" s="76">
        <f t="shared" si="0"/>
        <v>37.842857142857142</v>
      </c>
      <c r="D40" s="75">
        <f t="shared" si="3"/>
        <v>12.848955358529643</v>
      </c>
      <c r="E40" s="39">
        <v>1</v>
      </c>
      <c r="F40" s="75">
        <f t="shared" si="4"/>
        <v>51.238165540148884</v>
      </c>
      <c r="G40" s="75">
        <f t="shared" si="1"/>
        <v>16.703641966088536</v>
      </c>
      <c r="I40" s="5"/>
    </row>
    <row r="43" spans="1:14" s="21" customFormat="1" ht="32.25" hidden="1" customHeight="1" thickBot="1" x14ac:dyDescent="0.25">
      <c r="A43" s="193"/>
      <c r="B43" s="211" t="s">
        <v>14</v>
      </c>
      <c r="C43" s="212">
        <v>8.83</v>
      </c>
      <c r="D43" s="193"/>
      <c r="E43" s="195"/>
      <c r="F43" s="193"/>
      <c r="G43" s="193"/>
      <c r="I43" s="196"/>
    </row>
  </sheetData>
  <sheetProtection algorithmName="SHA-512" hashValue="MJEFNLyQKeVAeYy74uuhTR4g3O3UfUH9bi+zuknxId7mSDzxhDGyapZ/pNylV+49FpHd97BPgKTTdIYV2s1zAA==" saltValue="AhVsLDbKTuvXO9n6VZcEMQ==" spinCount="100000" sheet="1" objects="1" scenarios="1"/>
  <protectedRanges>
    <protectedRange sqref="M36" name="CALCULO RC"/>
    <protectedRange sqref="L8" name="RET TC_1"/>
    <protectedRange sqref="L23" name="DED_1"/>
    <protectedRange sqref="L26" name="RET TP_1"/>
  </protectedRanges>
  <mergeCells count="35">
    <mergeCell ref="B2:D2"/>
    <mergeCell ref="F2:G2"/>
    <mergeCell ref="A1:G1"/>
    <mergeCell ref="I2:K2"/>
    <mergeCell ref="L2:M2"/>
    <mergeCell ref="I4:I5"/>
    <mergeCell ref="J4:J5"/>
    <mergeCell ref="K4:K5"/>
    <mergeCell ref="L4:L5"/>
    <mergeCell ref="M4:M5"/>
    <mergeCell ref="I8:K9"/>
    <mergeCell ref="L8:L9"/>
    <mergeCell ref="I11:L12"/>
    <mergeCell ref="I14:I15"/>
    <mergeCell ref="J14:J15"/>
    <mergeCell ref="K14:K15"/>
    <mergeCell ref="L14:L15"/>
    <mergeCell ref="I16:I17"/>
    <mergeCell ref="J16:J17"/>
    <mergeCell ref="K16:K17"/>
    <mergeCell ref="L16:L17"/>
    <mergeCell ref="I18:J18"/>
    <mergeCell ref="I20:N21"/>
    <mergeCell ref="I23:K24"/>
    <mergeCell ref="L23:L24"/>
    <mergeCell ref="I26:K27"/>
    <mergeCell ref="L26:L27"/>
    <mergeCell ref="I34:K34"/>
    <mergeCell ref="I36:L37"/>
    <mergeCell ref="M36:M37"/>
    <mergeCell ref="I29:L30"/>
    <mergeCell ref="I32:I33"/>
    <mergeCell ref="J32:J33"/>
    <mergeCell ref="K32:K33"/>
    <mergeCell ref="L32:L33"/>
  </mergeCells>
  <hyperlinks>
    <hyperlink ref="M36:M37" r:id="rId1" display="CALCULO RC"/>
  </hyperlinks>
  <pageMargins left="0.94488188976377963" right="0.94488188976377963" top="0" bottom="0.39370078740157483" header="0" footer="0"/>
  <pageSetup paperSize="9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10" zoomScaleNormal="100" workbookViewId="0">
      <selection activeCell="F36" sqref="F36"/>
    </sheetView>
  </sheetViews>
  <sheetFormatPr baseColWidth="10" defaultColWidth="11.5703125" defaultRowHeight="14.25" x14ac:dyDescent="0.2"/>
  <cols>
    <col min="1" max="1" width="18.42578125" style="4" customWidth="1"/>
    <col min="2" max="2" width="24.85546875" style="68" customWidth="1"/>
    <col min="3" max="3" width="16.7109375" style="69" hidden="1" customWidth="1"/>
    <col min="4" max="4" width="18.42578125" style="68" customWidth="1"/>
    <col min="5" max="5" width="18.42578125" style="5" customWidth="1"/>
    <col min="6" max="6" width="24.85546875" style="68" customWidth="1"/>
    <col min="7" max="7" width="18.42578125" style="68" customWidth="1"/>
    <col min="8" max="8" width="11.5703125" style="5"/>
    <col min="9" max="9" width="20.7109375" style="7" customWidth="1"/>
    <col min="10" max="10" width="19.7109375" style="5" customWidth="1"/>
    <col min="11" max="11" width="20.5703125" style="5" customWidth="1"/>
    <col min="12" max="12" width="17.28515625" style="5" customWidth="1"/>
    <col min="13" max="13" width="15.5703125" style="5" customWidth="1"/>
    <col min="14" max="16384" width="11.5703125" style="5"/>
  </cols>
  <sheetData>
    <row r="1" spans="1:14" s="8" customFormat="1" ht="65.25" customHeight="1" x14ac:dyDescent="0.2">
      <c r="A1" s="215" t="s">
        <v>100</v>
      </c>
      <c r="B1" s="216"/>
      <c r="C1" s="216"/>
      <c r="D1" s="216"/>
      <c r="E1" s="216"/>
      <c r="F1" s="216"/>
      <c r="G1" s="216"/>
      <c r="K1" s="19"/>
    </row>
    <row r="2" spans="1:14" s="36" customFormat="1" ht="24.75" customHeight="1" x14ac:dyDescent="0.2">
      <c r="A2" s="44"/>
      <c r="B2" s="291" t="s">
        <v>47</v>
      </c>
      <c r="C2" s="291"/>
      <c r="D2" s="292"/>
      <c r="E2" s="42"/>
      <c r="F2" s="291" t="s">
        <v>48</v>
      </c>
      <c r="G2" s="292"/>
      <c r="I2" s="217" t="s">
        <v>53</v>
      </c>
      <c r="J2" s="217"/>
      <c r="K2" s="217"/>
      <c r="L2" s="217" t="s">
        <v>57</v>
      </c>
      <c r="M2" s="217"/>
    </row>
    <row r="3" spans="1:14" s="27" customFormat="1" ht="38.25" x14ac:dyDescent="0.2">
      <c r="A3" s="43" t="s">
        <v>45</v>
      </c>
      <c r="B3" s="65" t="s">
        <v>46</v>
      </c>
      <c r="C3" s="66" t="s">
        <v>105</v>
      </c>
      <c r="D3" s="67" t="s">
        <v>49</v>
      </c>
      <c r="E3" s="40" t="s">
        <v>45</v>
      </c>
      <c r="F3" s="65" t="s">
        <v>46</v>
      </c>
      <c r="G3" s="67" t="s">
        <v>50</v>
      </c>
      <c r="I3" s="127" t="s">
        <v>52</v>
      </c>
      <c r="J3" s="127" t="s">
        <v>63</v>
      </c>
      <c r="K3" s="127" t="s">
        <v>64</v>
      </c>
      <c r="L3" s="128" t="s">
        <v>55</v>
      </c>
      <c r="M3" s="127" t="s">
        <v>56</v>
      </c>
    </row>
    <row r="4" spans="1:14" ht="15" customHeight="1" x14ac:dyDescent="0.2">
      <c r="A4" s="37">
        <v>37.5</v>
      </c>
      <c r="B4" s="71">
        <f>PARAMETROS!B7</f>
        <v>1385.6475055929689</v>
      </c>
      <c r="C4" s="72"/>
      <c r="D4" s="71"/>
      <c r="E4" s="37">
        <v>37.5</v>
      </c>
      <c r="F4" s="71">
        <f>PARAMETROS!C7</f>
        <v>1801.3417572708593</v>
      </c>
      <c r="G4" s="71">
        <f>IF(F4&gt;$K$4,$K$4*$K$18%,F4*$K$18%)</f>
        <v>587.23741287030009</v>
      </c>
      <c r="I4" s="218">
        <v>2</v>
      </c>
      <c r="J4" s="267">
        <v>1215.9000000000001</v>
      </c>
      <c r="K4" s="267">
        <v>4070.1</v>
      </c>
      <c r="L4" s="268">
        <v>1050</v>
      </c>
      <c r="M4" s="268">
        <v>4070.1</v>
      </c>
      <c r="N4" s="8"/>
    </row>
    <row r="5" spans="1:14" x14ac:dyDescent="0.2">
      <c r="A5" s="38">
        <v>36</v>
      </c>
      <c r="B5" s="73">
        <f>PRODUCT(B$4,A5)/A$4</f>
        <v>1330.2216053692503</v>
      </c>
      <c r="C5" s="74">
        <f t="shared" ref="C5:C40" si="0">(A5/$A$4*7.5*5)/7*30*$C$43</f>
        <v>1129.3714285714289</v>
      </c>
      <c r="D5" s="73">
        <f>IF(B5&lt;C5,C5*$K$18%,B5*$K$18%)</f>
        <v>433.65224335037561</v>
      </c>
      <c r="E5" s="38">
        <v>36</v>
      </c>
      <c r="F5" s="73">
        <f>PRODUCT(F$4,E5)/E$4</f>
        <v>1729.2880869800249</v>
      </c>
      <c r="G5" s="73">
        <f t="shared" ref="G5:G40" si="1">IF(F5&gt;$K$4,$K$4*$K$18%,F5*$K$18%)</f>
        <v>563.74791635548809</v>
      </c>
      <c r="I5" s="218"/>
      <c r="J5" s="267"/>
      <c r="K5" s="267"/>
      <c r="L5" s="268"/>
      <c r="M5" s="268"/>
      <c r="N5" s="8"/>
    </row>
    <row r="6" spans="1:14" x14ac:dyDescent="0.2">
      <c r="A6" s="38">
        <v>35</v>
      </c>
      <c r="B6" s="73">
        <f t="shared" ref="B6:B40" si="2">PRODUCT(B$4,A6)/A$4</f>
        <v>1293.2710052201044</v>
      </c>
      <c r="C6" s="74">
        <f t="shared" si="0"/>
        <v>1098</v>
      </c>
      <c r="D6" s="73">
        <f t="shared" ref="D6:D40" si="3">IF(B6&lt;C6,C6*$K$18%,B6*$K$18%)</f>
        <v>421.60634770175403</v>
      </c>
      <c r="E6" s="38">
        <v>35</v>
      </c>
      <c r="F6" s="73">
        <f t="shared" ref="F6:F40" si="4">PRODUCT(F$4,E6)/E$4</f>
        <v>1681.2523067861353</v>
      </c>
      <c r="G6" s="73">
        <f t="shared" si="1"/>
        <v>548.08825201228012</v>
      </c>
      <c r="I6" s="35"/>
      <c r="J6" s="8"/>
      <c r="K6" s="8"/>
      <c r="L6" s="118"/>
      <c r="M6" s="8"/>
      <c r="N6" s="8"/>
    </row>
    <row r="7" spans="1:14" ht="15" thickBot="1" x14ac:dyDescent="0.25">
      <c r="A7" s="38">
        <v>34</v>
      </c>
      <c r="B7" s="73">
        <f t="shared" si="2"/>
        <v>1256.3204050709585</v>
      </c>
      <c r="C7" s="74">
        <f t="shared" si="0"/>
        <v>1066.6285714285714</v>
      </c>
      <c r="D7" s="73">
        <f t="shared" si="3"/>
        <v>409.56045205313251</v>
      </c>
      <c r="E7" s="38">
        <v>34</v>
      </c>
      <c r="F7" s="73">
        <f t="shared" si="4"/>
        <v>1633.2165265922458</v>
      </c>
      <c r="G7" s="73">
        <f t="shared" si="1"/>
        <v>532.42858766907216</v>
      </c>
      <c r="I7" s="35"/>
      <c r="J7" s="19"/>
      <c r="K7" s="8"/>
      <c r="L7" s="118"/>
      <c r="M7" s="8"/>
      <c r="N7" s="8"/>
    </row>
    <row r="8" spans="1:14" x14ac:dyDescent="0.2">
      <c r="A8" s="38">
        <v>33</v>
      </c>
      <c r="B8" s="73">
        <f t="shared" si="2"/>
        <v>1219.3698049218126</v>
      </c>
      <c r="C8" s="74">
        <f t="shared" si="0"/>
        <v>1035.257142857143</v>
      </c>
      <c r="D8" s="73">
        <f t="shared" si="3"/>
        <v>397.51455640451093</v>
      </c>
      <c r="E8" s="38">
        <v>33</v>
      </c>
      <c r="F8" s="73">
        <f t="shared" si="4"/>
        <v>1585.1807463983562</v>
      </c>
      <c r="G8" s="73">
        <f t="shared" si="1"/>
        <v>516.76892332586408</v>
      </c>
      <c r="I8" s="229" t="s">
        <v>103</v>
      </c>
      <c r="J8" s="229"/>
      <c r="K8" s="230"/>
      <c r="L8" s="227">
        <v>0</v>
      </c>
      <c r="M8" s="8"/>
      <c r="N8" s="8"/>
    </row>
    <row r="9" spans="1:14" ht="15" thickBot="1" x14ac:dyDescent="0.25">
      <c r="A9" s="38">
        <v>32</v>
      </c>
      <c r="B9" s="73">
        <f t="shared" si="2"/>
        <v>1182.4192047726667</v>
      </c>
      <c r="C9" s="74">
        <f t="shared" si="0"/>
        <v>1003.8857142857142</v>
      </c>
      <c r="D9" s="73">
        <f t="shared" si="3"/>
        <v>385.46866075588935</v>
      </c>
      <c r="E9" s="38">
        <v>32</v>
      </c>
      <c r="F9" s="73">
        <f t="shared" si="4"/>
        <v>1537.1449662044665</v>
      </c>
      <c r="G9" s="73">
        <f t="shared" si="1"/>
        <v>501.10925898265612</v>
      </c>
      <c r="I9" s="229"/>
      <c r="J9" s="229"/>
      <c r="K9" s="230"/>
      <c r="L9" s="228"/>
      <c r="M9" s="8"/>
      <c r="N9" s="8"/>
    </row>
    <row r="10" spans="1:14" ht="15" thickBot="1" x14ac:dyDescent="0.25">
      <c r="A10" s="38">
        <v>31</v>
      </c>
      <c r="B10" s="73">
        <f t="shared" si="2"/>
        <v>1145.4686046235208</v>
      </c>
      <c r="C10" s="74">
        <f t="shared" si="0"/>
        <v>972.51428571428573</v>
      </c>
      <c r="D10" s="73">
        <f t="shared" si="3"/>
        <v>373.42276510726782</v>
      </c>
      <c r="E10" s="38">
        <v>31</v>
      </c>
      <c r="F10" s="73">
        <f t="shared" si="4"/>
        <v>1489.1091860105771</v>
      </c>
      <c r="G10" s="73">
        <f t="shared" si="1"/>
        <v>485.44959463944815</v>
      </c>
      <c r="I10" s="123"/>
      <c r="J10" s="124"/>
      <c r="K10" s="125"/>
      <c r="L10" s="126"/>
      <c r="M10" s="8"/>
      <c r="N10" s="8"/>
    </row>
    <row r="11" spans="1:14" x14ac:dyDescent="0.2">
      <c r="A11" s="38">
        <v>30</v>
      </c>
      <c r="B11" s="73">
        <f t="shared" si="2"/>
        <v>1108.5180044743749</v>
      </c>
      <c r="C11" s="74">
        <f t="shared" si="0"/>
        <v>941.14285714285711</v>
      </c>
      <c r="D11" s="73">
        <f t="shared" si="3"/>
        <v>361.37686945864624</v>
      </c>
      <c r="E11" s="38">
        <v>30</v>
      </c>
      <c r="F11" s="73">
        <f t="shared" si="4"/>
        <v>1441.0734058166875</v>
      </c>
      <c r="G11" s="73">
        <f t="shared" si="1"/>
        <v>469.78993029624013</v>
      </c>
      <c r="I11" s="231" t="s">
        <v>65</v>
      </c>
      <c r="J11" s="232"/>
      <c r="K11" s="232"/>
      <c r="L11" s="233"/>
      <c r="M11" s="8"/>
      <c r="N11" s="8"/>
    </row>
    <row r="12" spans="1:14" ht="15" thickBot="1" x14ac:dyDescent="0.25">
      <c r="A12" s="38">
        <v>29</v>
      </c>
      <c r="B12" s="73">
        <f t="shared" si="2"/>
        <v>1071.5674043252293</v>
      </c>
      <c r="C12" s="74">
        <f t="shared" si="0"/>
        <v>909.7714285714286</v>
      </c>
      <c r="D12" s="73">
        <f t="shared" si="3"/>
        <v>349.33097381002477</v>
      </c>
      <c r="E12" s="38">
        <v>29</v>
      </c>
      <c r="F12" s="73">
        <f t="shared" si="4"/>
        <v>1393.0376256227978</v>
      </c>
      <c r="G12" s="73">
        <f t="shared" si="1"/>
        <v>454.13026595303211</v>
      </c>
      <c r="I12" s="234"/>
      <c r="J12" s="235"/>
      <c r="K12" s="235"/>
      <c r="L12" s="236"/>
      <c r="M12" s="8"/>
      <c r="N12" s="8"/>
    </row>
    <row r="13" spans="1:14" ht="15" thickBot="1" x14ac:dyDescent="0.25">
      <c r="A13" s="38">
        <v>28</v>
      </c>
      <c r="B13" s="73">
        <f t="shared" si="2"/>
        <v>1034.6168041760834</v>
      </c>
      <c r="C13" s="74">
        <f t="shared" si="0"/>
        <v>878.4000000000002</v>
      </c>
      <c r="D13" s="73">
        <f t="shared" si="3"/>
        <v>337.28507816140319</v>
      </c>
      <c r="E13" s="38">
        <v>28</v>
      </c>
      <c r="F13" s="73">
        <f t="shared" si="4"/>
        <v>1345.0018454289084</v>
      </c>
      <c r="G13" s="73">
        <f t="shared" si="1"/>
        <v>438.47060160982414</v>
      </c>
      <c r="I13" s="120"/>
      <c r="J13" s="121" t="s">
        <v>58</v>
      </c>
      <c r="K13" s="136" t="s">
        <v>59</v>
      </c>
      <c r="L13" s="122" t="s">
        <v>60</v>
      </c>
      <c r="M13" s="8"/>
      <c r="N13" s="8"/>
    </row>
    <row r="14" spans="1:14" x14ac:dyDescent="0.2">
      <c r="A14" s="38">
        <v>27</v>
      </c>
      <c r="B14" s="73">
        <f t="shared" si="2"/>
        <v>997.66620402693752</v>
      </c>
      <c r="C14" s="74">
        <f t="shared" si="0"/>
        <v>847.02857142857147</v>
      </c>
      <c r="D14" s="73">
        <f t="shared" si="3"/>
        <v>325.23918251278167</v>
      </c>
      <c r="E14" s="38">
        <v>27</v>
      </c>
      <c r="F14" s="73">
        <f t="shared" si="4"/>
        <v>1296.9660652350185</v>
      </c>
      <c r="G14" s="73">
        <f t="shared" si="1"/>
        <v>422.81093726661607</v>
      </c>
      <c r="I14" s="237" t="s">
        <v>61</v>
      </c>
      <c r="J14" s="239">
        <f>IF(L8&gt;=J4,L8,J4)</f>
        <v>1215.9000000000001</v>
      </c>
      <c r="K14" s="241">
        <v>23.6</v>
      </c>
      <c r="L14" s="247">
        <f>J14*K14%</f>
        <v>286.95240000000007</v>
      </c>
      <c r="M14" s="8"/>
      <c r="N14" s="8"/>
    </row>
    <row r="15" spans="1:14" ht="15" thickBot="1" x14ac:dyDescent="0.25">
      <c r="A15" s="38">
        <v>26</v>
      </c>
      <c r="B15" s="73">
        <f t="shared" si="2"/>
        <v>960.71560387779186</v>
      </c>
      <c r="C15" s="74">
        <f t="shared" si="0"/>
        <v>815.65714285714296</v>
      </c>
      <c r="D15" s="73">
        <f t="shared" si="3"/>
        <v>313.19328686416014</v>
      </c>
      <c r="E15" s="38">
        <v>26</v>
      </c>
      <c r="F15" s="73">
        <f t="shared" si="4"/>
        <v>1248.9302850411291</v>
      </c>
      <c r="G15" s="73">
        <f t="shared" si="1"/>
        <v>407.1512729234081</v>
      </c>
      <c r="I15" s="238"/>
      <c r="J15" s="240"/>
      <c r="K15" s="242"/>
      <c r="L15" s="248"/>
      <c r="M15" s="8"/>
      <c r="N15" s="8"/>
    </row>
    <row r="16" spans="1:14" x14ac:dyDescent="0.2">
      <c r="A16" s="38">
        <v>25</v>
      </c>
      <c r="B16" s="73">
        <f t="shared" si="2"/>
        <v>923.76500372864598</v>
      </c>
      <c r="C16" s="74">
        <f t="shared" si="0"/>
        <v>784.28571428571433</v>
      </c>
      <c r="D16" s="73">
        <f t="shared" si="3"/>
        <v>301.14739121553862</v>
      </c>
      <c r="E16" s="38">
        <v>25</v>
      </c>
      <c r="F16" s="73">
        <f t="shared" si="4"/>
        <v>1200.8945048472397</v>
      </c>
      <c r="G16" s="73">
        <f t="shared" si="1"/>
        <v>391.49160858020014</v>
      </c>
      <c r="I16" s="245" t="s">
        <v>62</v>
      </c>
      <c r="J16" s="239">
        <f>IF(L8&gt;=L4,L8,L4)</f>
        <v>1050</v>
      </c>
      <c r="K16" s="241">
        <v>9</v>
      </c>
      <c r="L16" s="243">
        <f>J16*K16%</f>
        <v>94.5</v>
      </c>
      <c r="M16" s="8"/>
      <c r="N16" s="8"/>
    </row>
    <row r="17" spans="1:14" ht="15" thickBot="1" x14ac:dyDescent="0.25">
      <c r="A17" s="38">
        <v>24</v>
      </c>
      <c r="B17" s="73">
        <f t="shared" si="2"/>
        <v>886.81440357950009</v>
      </c>
      <c r="C17" s="74">
        <f t="shared" si="0"/>
        <v>752.91428571428571</v>
      </c>
      <c r="D17" s="73">
        <f t="shared" si="3"/>
        <v>289.10149556691704</v>
      </c>
      <c r="E17" s="38">
        <v>24</v>
      </c>
      <c r="F17" s="73">
        <f t="shared" si="4"/>
        <v>1152.8587246533498</v>
      </c>
      <c r="G17" s="73">
        <f t="shared" si="1"/>
        <v>375.83194423699206</v>
      </c>
      <c r="I17" s="246"/>
      <c r="J17" s="240"/>
      <c r="K17" s="242">
        <v>0.2</v>
      </c>
      <c r="L17" s="244"/>
      <c r="M17" s="8"/>
      <c r="N17" s="8"/>
    </row>
    <row r="18" spans="1:14" ht="15" thickBot="1" x14ac:dyDescent="0.25">
      <c r="A18" s="38">
        <v>23</v>
      </c>
      <c r="B18" s="73">
        <f t="shared" si="2"/>
        <v>849.86380343035421</v>
      </c>
      <c r="C18" s="74">
        <f t="shared" si="0"/>
        <v>721.5428571428572</v>
      </c>
      <c r="D18" s="73">
        <f t="shared" si="3"/>
        <v>277.05559991829546</v>
      </c>
      <c r="E18" s="38">
        <v>23</v>
      </c>
      <c r="F18" s="73">
        <f t="shared" si="4"/>
        <v>1104.8229444594604</v>
      </c>
      <c r="G18" s="73">
        <f t="shared" si="1"/>
        <v>360.17227989378409</v>
      </c>
      <c r="I18" s="225" t="s">
        <v>66</v>
      </c>
      <c r="J18" s="226"/>
      <c r="K18" s="137">
        <f>(K14+K16)</f>
        <v>32.6</v>
      </c>
      <c r="L18" s="133">
        <f>SUM(L14:L17)</f>
        <v>381.45240000000007</v>
      </c>
      <c r="M18" s="8"/>
      <c r="N18" s="8"/>
    </row>
    <row r="19" spans="1:14" x14ac:dyDescent="0.2">
      <c r="A19" s="38">
        <v>22</v>
      </c>
      <c r="B19" s="73">
        <f t="shared" si="2"/>
        <v>812.91320328120844</v>
      </c>
      <c r="C19" s="74">
        <f t="shared" si="0"/>
        <v>690.17142857142858</v>
      </c>
      <c r="D19" s="73">
        <f t="shared" si="3"/>
        <v>265.00970426967399</v>
      </c>
      <c r="E19" s="38">
        <v>22</v>
      </c>
      <c r="F19" s="73">
        <f t="shared" si="4"/>
        <v>1056.7871642655709</v>
      </c>
      <c r="G19" s="73">
        <f t="shared" si="1"/>
        <v>344.51261555057613</v>
      </c>
      <c r="I19" s="129"/>
      <c r="J19" s="130"/>
      <c r="K19" s="131"/>
      <c r="L19" s="132"/>
      <c r="M19" s="8"/>
      <c r="N19" s="8"/>
    </row>
    <row r="20" spans="1:14" ht="14.25" customHeight="1" x14ac:dyDescent="0.2">
      <c r="A20" s="38">
        <v>21</v>
      </c>
      <c r="B20" s="73">
        <f t="shared" si="2"/>
        <v>775.96260313206255</v>
      </c>
      <c r="C20" s="74">
        <f t="shared" si="0"/>
        <v>658.80000000000007</v>
      </c>
      <c r="D20" s="73">
        <f t="shared" si="3"/>
        <v>252.96380862105241</v>
      </c>
      <c r="E20" s="38">
        <v>21</v>
      </c>
      <c r="F20" s="73">
        <f t="shared" si="4"/>
        <v>1008.7513840716812</v>
      </c>
      <c r="G20" s="73">
        <f t="shared" si="1"/>
        <v>328.85295120736805</v>
      </c>
      <c r="I20" s="214" t="s">
        <v>82</v>
      </c>
      <c r="J20" s="214"/>
      <c r="K20" s="214"/>
      <c r="L20" s="214"/>
      <c r="M20" s="214"/>
      <c r="N20" s="150"/>
    </row>
    <row r="21" spans="1:14" x14ac:dyDescent="0.2">
      <c r="A21" s="38">
        <v>20</v>
      </c>
      <c r="B21" s="73">
        <f t="shared" si="2"/>
        <v>739.01200298291667</v>
      </c>
      <c r="C21" s="74">
        <f t="shared" si="0"/>
        <v>627.42857142857156</v>
      </c>
      <c r="D21" s="73">
        <f t="shared" si="3"/>
        <v>240.91791297243086</v>
      </c>
      <c r="E21" s="38">
        <v>20</v>
      </c>
      <c r="F21" s="73">
        <f t="shared" si="4"/>
        <v>960.71560387779164</v>
      </c>
      <c r="G21" s="73">
        <f t="shared" si="1"/>
        <v>313.19328686416009</v>
      </c>
      <c r="I21" s="214"/>
      <c r="J21" s="214"/>
      <c r="K21" s="214"/>
      <c r="L21" s="214"/>
      <c r="M21" s="214"/>
      <c r="N21" s="150"/>
    </row>
    <row r="22" spans="1:14" ht="15" thickBot="1" x14ac:dyDescent="0.25">
      <c r="A22" s="38">
        <v>19</v>
      </c>
      <c r="B22" s="73">
        <f t="shared" si="2"/>
        <v>702.0614028337709</v>
      </c>
      <c r="C22" s="74">
        <f t="shared" si="0"/>
        <v>596.05714285714294</v>
      </c>
      <c r="D22" s="73">
        <f t="shared" si="3"/>
        <v>228.87201732380933</v>
      </c>
      <c r="E22" s="38">
        <v>19</v>
      </c>
      <c r="F22" s="73">
        <f t="shared" si="4"/>
        <v>912.6798236839021</v>
      </c>
      <c r="G22" s="73">
        <f t="shared" si="1"/>
        <v>297.53362252095212</v>
      </c>
      <c r="I22" s="35"/>
      <c r="J22" s="19"/>
      <c r="K22" s="8"/>
      <c r="L22" s="118"/>
      <c r="M22" s="8"/>
      <c r="N22" s="8"/>
    </row>
    <row r="23" spans="1:14" x14ac:dyDescent="0.2">
      <c r="A23" s="38">
        <v>18</v>
      </c>
      <c r="B23" s="73">
        <f t="shared" si="2"/>
        <v>665.11080268462513</v>
      </c>
      <c r="C23" s="74">
        <f t="shared" si="0"/>
        <v>564.68571428571443</v>
      </c>
      <c r="D23" s="73">
        <f t="shared" si="3"/>
        <v>216.82612167518781</v>
      </c>
      <c r="E23" s="38">
        <v>18</v>
      </c>
      <c r="F23" s="73">
        <f t="shared" si="4"/>
        <v>864.64404349001245</v>
      </c>
      <c r="G23" s="73">
        <f t="shared" si="1"/>
        <v>281.87395817774404</v>
      </c>
      <c r="I23" s="229" t="s">
        <v>67</v>
      </c>
      <c r="J23" s="229"/>
      <c r="K23" s="230"/>
      <c r="L23" s="293">
        <v>0</v>
      </c>
      <c r="M23" s="8"/>
      <c r="N23" s="8"/>
    </row>
    <row r="24" spans="1:14" ht="15" thickBot="1" x14ac:dyDescent="0.25">
      <c r="A24" s="38">
        <v>17</v>
      </c>
      <c r="B24" s="73">
        <f t="shared" si="2"/>
        <v>628.16020253547924</v>
      </c>
      <c r="C24" s="74">
        <f t="shared" si="0"/>
        <v>533.31428571428569</v>
      </c>
      <c r="D24" s="73">
        <f t="shared" si="3"/>
        <v>204.78022602656625</v>
      </c>
      <c r="E24" s="38">
        <v>17</v>
      </c>
      <c r="F24" s="73">
        <f t="shared" si="4"/>
        <v>816.60826329612291</v>
      </c>
      <c r="G24" s="73">
        <f t="shared" si="1"/>
        <v>266.21429383453608</v>
      </c>
      <c r="I24" s="229"/>
      <c r="J24" s="229"/>
      <c r="K24" s="230"/>
      <c r="L24" s="294"/>
      <c r="M24" s="8"/>
      <c r="N24" s="8"/>
    </row>
    <row r="25" spans="1:14" ht="15" thickBot="1" x14ac:dyDescent="0.25">
      <c r="A25" s="38">
        <v>16</v>
      </c>
      <c r="B25" s="73">
        <f t="shared" si="2"/>
        <v>591.20960238633336</v>
      </c>
      <c r="C25" s="74">
        <f t="shared" si="0"/>
        <v>501.94285714285712</v>
      </c>
      <c r="D25" s="73">
        <f t="shared" si="3"/>
        <v>192.73433037794467</v>
      </c>
      <c r="E25" s="38">
        <v>16</v>
      </c>
      <c r="F25" s="73">
        <f t="shared" si="4"/>
        <v>768.57248310223326</v>
      </c>
      <c r="G25" s="73">
        <f t="shared" si="1"/>
        <v>250.55462949132806</v>
      </c>
      <c r="I25" s="35"/>
      <c r="J25" s="19"/>
      <c r="K25" s="8"/>
      <c r="L25" s="118"/>
      <c r="M25" s="8"/>
      <c r="N25" s="8"/>
    </row>
    <row r="26" spans="1:14" x14ac:dyDescent="0.2">
      <c r="A26" s="38">
        <v>15</v>
      </c>
      <c r="B26" s="73">
        <f t="shared" si="2"/>
        <v>554.25900223718747</v>
      </c>
      <c r="C26" s="74">
        <f t="shared" si="0"/>
        <v>470.57142857142856</v>
      </c>
      <c r="D26" s="73">
        <f t="shared" si="3"/>
        <v>180.68843472932312</v>
      </c>
      <c r="E26" s="38">
        <v>15</v>
      </c>
      <c r="F26" s="73">
        <f t="shared" si="4"/>
        <v>720.53670290834373</v>
      </c>
      <c r="G26" s="73">
        <f t="shared" si="1"/>
        <v>234.89496514812006</v>
      </c>
      <c r="I26" s="229" t="s">
        <v>72</v>
      </c>
      <c r="J26" s="229"/>
      <c r="K26" s="230"/>
      <c r="L26" s="227">
        <v>0</v>
      </c>
      <c r="M26" s="8"/>
      <c r="N26" s="8"/>
    </row>
    <row r="27" spans="1:14" ht="15" thickBot="1" x14ac:dyDescent="0.25">
      <c r="A27" s="38">
        <v>14</v>
      </c>
      <c r="B27" s="73">
        <f t="shared" si="2"/>
        <v>517.3084020880417</v>
      </c>
      <c r="C27" s="74">
        <f t="shared" si="0"/>
        <v>439.2000000000001</v>
      </c>
      <c r="D27" s="73">
        <f t="shared" si="3"/>
        <v>168.6425390807016</v>
      </c>
      <c r="E27" s="38">
        <v>14</v>
      </c>
      <c r="F27" s="73">
        <f t="shared" si="4"/>
        <v>672.50092271445419</v>
      </c>
      <c r="G27" s="73">
        <f t="shared" si="1"/>
        <v>219.23530080491207</v>
      </c>
      <c r="I27" s="229"/>
      <c r="J27" s="229"/>
      <c r="K27" s="230"/>
      <c r="L27" s="228"/>
      <c r="M27" s="8"/>
      <c r="N27" s="8"/>
    </row>
    <row r="28" spans="1:14" ht="15" thickBot="1" x14ac:dyDescent="0.25">
      <c r="A28" s="38">
        <v>13</v>
      </c>
      <c r="B28" s="73">
        <f t="shared" si="2"/>
        <v>480.35780193889593</v>
      </c>
      <c r="C28" s="74">
        <f t="shared" si="0"/>
        <v>407.82857142857148</v>
      </c>
      <c r="D28" s="73">
        <f t="shared" si="3"/>
        <v>156.59664343208007</v>
      </c>
      <c r="E28" s="38">
        <v>13</v>
      </c>
      <c r="F28" s="73">
        <f t="shared" si="4"/>
        <v>624.46514252056454</v>
      </c>
      <c r="G28" s="73">
        <f t="shared" si="1"/>
        <v>203.57563646170405</v>
      </c>
      <c r="I28" s="35"/>
      <c r="J28" s="19"/>
      <c r="K28" s="8"/>
      <c r="L28" s="118"/>
      <c r="M28" s="8"/>
      <c r="N28" s="8"/>
    </row>
    <row r="29" spans="1:14" x14ac:dyDescent="0.2">
      <c r="A29" s="38">
        <v>12</v>
      </c>
      <c r="B29" s="73">
        <f t="shared" si="2"/>
        <v>443.40720178975005</v>
      </c>
      <c r="C29" s="74">
        <f t="shared" si="0"/>
        <v>376.45714285714286</v>
      </c>
      <c r="D29" s="73">
        <f t="shared" si="3"/>
        <v>144.55074778345852</v>
      </c>
      <c r="E29" s="38">
        <v>12</v>
      </c>
      <c r="F29" s="73">
        <f t="shared" si="4"/>
        <v>576.42936232667489</v>
      </c>
      <c r="G29" s="73">
        <f t="shared" si="1"/>
        <v>187.91597211849603</v>
      </c>
      <c r="I29" s="231" t="s">
        <v>68</v>
      </c>
      <c r="J29" s="232"/>
      <c r="K29" s="232"/>
      <c r="L29" s="233"/>
      <c r="M29" s="8"/>
      <c r="N29" s="8"/>
    </row>
    <row r="30" spans="1:14" ht="15" thickBot="1" x14ac:dyDescent="0.25">
      <c r="A30" s="38">
        <v>11</v>
      </c>
      <c r="B30" s="73">
        <f t="shared" si="2"/>
        <v>406.45660164060422</v>
      </c>
      <c r="C30" s="74">
        <f t="shared" si="0"/>
        <v>345.08571428571429</v>
      </c>
      <c r="D30" s="73">
        <f t="shared" si="3"/>
        <v>132.50485213483699</v>
      </c>
      <c r="E30" s="38">
        <v>11</v>
      </c>
      <c r="F30" s="73">
        <f t="shared" si="4"/>
        <v>528.39358213278547</v>
      </c>
      <c r="G30" s="73">
        <f t="shared" si="1"/>
        <v>172.25630777528806</v>
      </c>
      <c r="I30" s="234"/>
      <c r="J30" s="235"/>
      <c r="K30" s="235"/>
      <c r="L30" s="236"/>
      <c r="M30" s="8"/>
      <c r="N30" s="8"/>
    </row>
    <row r="31" spans="1:14" ht="15" thickBot="1" x14ac:dyDescent="0.25">
      <c r="A31" s="38">
        <v>10</v>
      </c>
      <c r="B31" s="73">
        <f t="shared" si="2"/>
        <v>369.50600149145833</v>
      </c>
      <c r="C31" s="74">
        <f t="shared" si="0"/>
        <v>313.71428571428578</v>
      </c>
      <c r="D31" s="73">
        <f t="shared" si="3"/>
        <v>120.45895648621543</v>
      </c>
      <c r="E31" s="38">
        <v>10</v>
      </c>
      <c r="F31" s="73">
        <f t="shared" si="4"/>
        <v>480.35780193889582</v>
      </c>
      <c r="G31" s="73">
        <f t="shared" si="1"/>
        <v>156.59664343208004</v>
      </c>
      <c r="I31" s="140" t="s">
        <v>73</v>
      </c>
      <c r="J31" s="138" t="s">
        <v>58</v>
      </c>
      <c r="K31" s="136" t="s">
        <v>74</v>
      </c>
      <c r="L31" s="122" t="s">
        <v>60</v>
      </c>
      <c r="M31" s="8"/>
      <c r="N31" s="8"/>
    </row>
    <row r="32" spans="1:14" x14ac:dyDescent="0.2">
      <c r="A32" s="38">
        <v>9</v>
      </c>
      <c r="B32" s="73">
        <f t="shared" si="2"/>
        <v>332.55540134231256</v>
      </c>
      <c r="C32" s="74">
        <f t="shared" si="0"/>
        <v>282.34285714285721</v>
      </c>
      <c r="D32" s="73">
        <f t="shared" si="3"/>
        <v>108.4130608375939</v>
      </c>
      <c r="E32" s="38">
        <v>9</v>
      </c>
      <c r="F32" s="73">
        <f t="shared" si="4"/>
        <v>432.32202174500623</v>
      </c>
      <c r="G32" s="73">
        <f t="shared" si="1"/>
        <v>140.93697908887202</v>
      </c>
      <c r="I32" s="256">
        <f>((L23/37.5*7.5*5)/7)*30*$C$43</f>
        <v>0</v>
      </c>
      <c r="J32" s="258">
        <f>IF(L26&lt;I32,I32,L26)</f>
        <v>0</v>
      </c>
      <c r="K32" s="260">
        <v>32.6</v>
      </c>
      <c r="L32" s="243">
        <f>J32*K32%</f>
        <v>0</v>
      </c>
      <c r="M32" s="8"/>
      <c r="N32" s="8"/>
    </row>
    <row r="33" spans="1:14" ht="15" thickBot="1" x14ac:dyDescent="0.25">
      <c r="A33" s="38">
        <v>8</v>
      </c>
      <c r="B33" s="73">
        <f t="shared" si="2"/>
        <v>295.60480119316668</v>
      </c>
      <c r="C33" s="74">
        <f t="shared" si="0"/>
        <v>250.97142857142856</v>
      </c>
      <c r="D33" s="73">
        <f t="shared" si="3"/>
        <v>96.367165188972336</v>
      </c>
      <c r="E33" s="38">
        <v>8</v>
      </c>
      <c r="F33" s="73">
        <f t="shared" si="4"/>
        <v>384.28624155111663</v>
      </c>
      <c r="G33" s="73">
        <f t="shared" si="1"/>
        <v>125.27731474566403</v>
      </c>
      <c r="I33" s="257"/>
      <c r="J33" s="259"/>
      <c r="K33" s="261"/>
      <c r="L33" s="262"/>
      <c r="M33" s="8"/>
      <c r="N33" s="8"/>
    </row>
    <row r="34" spans="1:14" ht="15" thickBot="1" x14ac:dyDescent="0.25">
      <c r="A34" s="38">
        <v>7</v>
      </c>
      <c r="B34" s="73">
        <f t="shared" si="2"/>
        <v>258.65420104402085</v>
      </c>
      <c r="C34" s="74">
        <f t="shared" si="0"/>
        <v>219.60000000000005</v>
      </c>
      <c r="D34" s="73">
        <f t="shared" si="3"/>
        <v>84.321269540350798</v>
      </c>
      <c r="E34" s="38">
        <v>7</v>
      </c>
      <c r="F34" s="73">
        <f t="shared" si="4"/>
        <v>336.2504613572271</v>
      </c>
      <c r="G34" s="73">
        <f t="shared" si="1"/>
        <v>109.61765040245604</v>
      </c>
      <c r="I34" s="251" t="s">
        <v>69</v>
      </c>
      <c r="J34" s="252"/>
      <c r="K34" s="253"/>
      <c r="L34" s="133">
        <f>SUM(L32)</f>
        <v>0</v>
      </c>
      <c r="M34" s="8"/>
      <c r="N34" s="8"/>
    </row>
    <row r="35" spans="1:14" x14ac:dyDescent="0.2">
      <c r="A35" s="38">
        <v>6</v>
      </c>
      <c r="B35" s="73">
        <f t="shared" si="2"/>
        <v>221.70360089487502</v>
      </c>
      <c r="C35" s="74">
        <f t="shared" si="0"/>
        <v>188.22857142857143</v>
      </c>
      <c r="D35" s="73">
        <f t="shared" si="3"/>
        <v>72.275373891729259</v>
      </c>
      <c r="E35" s="38">
        <v>6</v>
      </c>
      <c r="F35" s="73">
        <f t="shared" si="4"/>
        <v>288.21468116333745</v>
      </c>
      <c r="G35" s="73">
        <f t="shared" si="1"/>
        <v>93.957986059248014</v>
      </c>
      <c r="I35" s="35"/>
      <c r="J35" s="19"/>
      <c r="K35" s="8"/>
      <c r="L35" s="118"/>
      <c r="M35" s="8"/>
      <c r="N35" s="139"/>
    </row>
    <row r="36" spans="1:14" x14ac:dyDescent="0.2">
      <c r="A36" s="38">
        <v>5</v>
      </c>
      <c r="B36" s="73">
        <f t="shared" si="2"/>
        <v>184.75300074572917</v>
      </c>
      <c r="C36" s="74">
        <f t="shared" si="0"/>
        <v>156.85714285714289</v>
      </c>
      <c r="D36" s="73">
        <f t="shared" si="3"/>
        <v>60.229478243107714</v>
      </c>
      <c r="E36" s="38">
        <v>5</v>
      </c>
      <c r="F36" s="73">
        <f t="shared" si="4"/>
        <v>240.17890096944791</v>
      </c>
      <c r="G36" s="73">
        <f t="shared" si="1"/>
        <v>78.298321716040022</v>
      </c>
      <c r="I36" s="254" t="s">
        <v>71</v>
      </c>
      <c r="J36" s="254"/>
      <c r="K36" s="254"/>
      <c r="L36" s="254"/>
      <c r="M36" s="255" t="s">
        <v>70</v>
      </c>
      <c r="N36" s="139"/>
    </row>
    <row r="37" spans="1:14" x14ac:dyDescent="0.2">
      <c r="A37" s="38">
        <v>4</v>
      </c>
      <c r="B37" s="73">
        <f t="shared" si="2"/>
        <v>147.80240059658334</v>
      </c>
      <c r="C37" s="74">
        <f t="shared" si="0"/>
        <v>125.48571428571428</v>
      </c>
      <c r="D37" s="73">
        <f t="shared" si="3"/>
        <v>48.183582594486168</v>
      </c>
      <c r="E37" s="38">
        <v>4</v>
      </c>
      <c r="F37" s="73">
        <f t="shared" si="4"/>
        <v>192.14312077555832</v>
      </c>
      <c r="G37" s="73">
        <f t="shared" si="1"/>
        <v>62.638657372832014</v>
      </c>
      <c r="I37" s="254"/>
      <c r="J37" s="254"/>
      <c r="K37" s="254"/>
      <c r="L37" s="254"/>
      <c r="M37" s="255"/>
      <c r="N37" s="139"/>
    </row>
    <row r="38" spans="1:14" x14ac:dyDescent="0.2">
      <c r="A38" s="38">
        <v>3</v>
      </c>
      <c r="B38" s="73">
        <f t="shared" si="2"/>
        <v>110.85180044743751</v>
      </c>
      <c r="C38" s="74">
        <f t="shared" si="0"/>
        <v>94.114285714285714</v>
      </c>
      <c r="D38" s="73">
        <f t="shared" si="3"/>
        <v>36.13768694586463</v>
      </c>
      <c r="E38" s="38">
        <v>3</v>
      </c>
      <c r="F38" s="73">
        <f t="shared" si="4"/>
        <v>144.10734058166872</v>
      </c>
      <c r="G38" s="73">
        <f t="shared" si="1"/>
        <v>46.978993029624007</v>
      </c>
      <c r="I38" s="5"/>
    </row>
    <row r="39" spans="1:14" x14ac:dyDescent="0.2">
      <c r="A39" s="38">
        <v>2</v>
      </c>
      <c r="B39" s="73">
        <f t="shared" si="2"/>
        <v>73.90120029829167</v>
      </c>
      <c r="C39" s="74">
        <f t="shared" si="0"/>
        <v>62.74285714285714</v>
      </c>
      <c r="D39" s="73">
        <f t="shared" si="3"/>
        <v>24.091791297243084</v>
      </c>
      <c r="E39" s="38">
        <v>2</v>
      </c>
      <c r="F39" s="73">
        <f t="shared" si="4"/>
        <v>96.071560387779158</v>
      </c>
      <c r="G39" s="73">
        <f t="shared" si="1"/>
        <v>31.319328686416007</v>
      </c>
      <c r="I39" s="5"/>
    </row>
    <row r="40" spans="1:14" x14ac:dyDescent="0.2">
      <c r="A40" s="39">
        <v>1</v>
      </c>
      <c r="B40" s="75">
        <f t="shared" si="2"/>
        <v>36.950600149145835</v>
      </c>
      <c r="C40" s="76">
        <f t="shared" si="0"/>
        <v>31.37142857142857</v>
      </c>
      <c r="D40" s="75">
        <f t="shared" si="3"/>
        <v>12.045895648621542</v>
      </c>
      <c r="E40" s="39">
        <v>1</v>
      </c>
      <c r="F40" s="75">
        <f t="shared" si="4"/>
        <v>48.035780193889579</v>
      </c>
      <c r="G40" s="75">
        <f t="shared" si="1"/>
        <v>15.659664343208004</v>
      </c>
      <c r="I40" s="5"/>
    </row>
    <row r="43" spans="1:14" s="21" customFormat="1" ht="41.25" hidden="1" customHeight="1" thickBot="1" x14ac:dyDescent="0.25">
      <c r="A43" s="193"/>
      <c r="B43" s="209" t="s">
        <v>16</v>
      </c>
      <c r="C43" s="210">
        <v>7.32</v>
      </c>
      <c r="D43" s="194"/>
      <c r="E43" s="195"/>
      <c r="F43" s="194"/>
      <c r="G43" s="194"/>
      <c r="I43" s="196"/>
    </row>
  </sheetData>
  <sheetProtection algorithmName="SHA-512" hashValue="gt+OdFczW1zgjgJQu7KuVlSztE7alyG6OShsgbnaN6VdmhaG+N5kcoeg7k3kmqXKpGJo0rumfqkyqNYf4Wy+Ng==" saltValue="SSy2YW9HLl8YJ2rPlePyGw==" spinCount="100000" sheet="1" objects="1" scenarios="1"/>
  <protectedRanges>
    <protectedRange sqref="M36" name="CALCULO RC"/>
    <protectedRange sqref="L8" name="RET TC_1"/>
    <protectedRange sqref="L23" name="DED_1"/>
    <protectedRange sqref="L26" name="RET TP_2"/>
  </protectedRanges>
  <mergeCells count="35">
    <mergeCell ref="A1:G1"/>
    <mergeCell ref="B2:D2"/>
    <mergeCell ref="F2:G2"/>
    <mergeCell ref="I2:K2"/>
    <mergeCell ref="L2:M2"/>
    <mergeCell ref="I4:I5"/>
    <mergeCell ref="J4:J5"/>
    <mergeCell ref="K4:K5"/>
    <mergeCell ref="L4:L5"/>
    <mergeCell ref="M4:M5"/>
    <mergeCell ref="I8:K9"/>
    <mergeCell ref="L8:L9"/>
    <mergeCell ref="I11:L12"/>
    <mergeCell ref="I14:I15"/>
    <mergeCell ref="J14:J15"/>
    <mergeCell ref="K14:K15"/>
    <mergeCell ref="L14:L15"/>
    <mergeCell ref="I16:I17"/>
    <mergeCell ref="J16:J17"/>
    <mergeCell ref="K16:K17"/>
    <mergeCell ref="L16:L17"/>
    <mergeCell ref="I18:J18"/>
    <mergeCell ref="I34:K34"/>
    <mergeCell ref="I36:L37"/>
    <mergeCell ref="M36:M37"/>
    <mergeCell ref="I20:M21"/>
    <mergeCell ref="I29:L30"/>
    <mergeCell ref="I32:I33"/>
    <mergeCell ref="J32:J33"/>
    <mergeCell ref="K32:K33"/>
    <mergeCell ref="L32:L33"/>
    <mergeCell ref="I23:K24"/>
    <mergeCell ref="L23:L24"/>
    <mergeCell ref="I26:K27"/>
    <mergeCell ref="L26:L27"/>
  </mergeCells>
  <phoneticPr fontId="0" type="noConversion"/>
  <hyperlinks>
    <hyperlink ref="M36:M37" r:id="rId1" display="CALCULO RC"/>
  </hyperlinks>
  <pageMargins left="0.94488188976377963" right="0.94488188976377963" top="0" bottom="0.39370078740157483" header="0" footer="0"/>
  <pageSetup paperSize="9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43"/>
  <sheetViews>
    <sheetView topLeftCell="A16" zoomScaleNormal="100" workbookViewId="0">
      <selection activeCell="F32" sqref="F32:F33"/>
    </sheetView>
  </sheetViews>
  <sheetFormatPr baseColWidth="10" defaultRowHeight="12.75" x14ac:dyDescent="0.2"/>
  <cols>
    <col min="1" max="1" width="25.140625" style="1" bestFit="1" customWidth="1"/>
    <col min="2" max="2" width="33.5703125" style="83" customWidth="1"/>
    <col min="3" max="3" width="16.7109375" style="84" hidden="1" customWidth="1"/>
    <col min="4" max="4" width="31.28515625" style="83" customWidth="1"/>
    <col min="5" max="5" width="11.42578125" style="2" customWidth="1"/>
    <col min="6" max="6" width="21.28515625" style="2" customWidth="1"/>
    <col min="7" max="7" width="26" style="2" customWidth="1"/>
    <col min="8" max="8" width="26.85546875" style="2" customWidth="1"/>
    <col min="9" max="9" width="16.140625" style="2" bestFit="1" customWidth="1"/>
    <col min="10" max="10" width="15.140625" style="2" bestFit="1" customWidth="1"/>
    <col min="11" max="173" width="11.42578125" style="2"/>
  </cols>
  <sheetData>
    <row r="1" spans="1:173" s="8" customFormat="1" ht="65.25" customHeight="1" x14ac:dyDescent="0.2">
      <c r="A1" s="215" t="s">
        <v>100</v>
      </c>
      <c r="B1" s="215"/>
      <c r="C1" s="215"/>
      <c r="D1" s="215"/>
      <c r="E1" s="17"/>
      <c r="F1" s="17"/>
      <c r="G1" s="17"/>
      <c r="H1" s="20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</row>
    <row r="2" spans="1:173" s="27" customFormat="1" ht="25.5" customHeight="1" x14ac:dyDescent="0.2">
      <c r="A2" s="77" t="s">
        <v>45</v>
      </c>
      <c r="B2" s="81" t="s">
        <v>46</v>
      </c>
      <c r="C2" s="82" t="s">
        <v>106</v>
      </c>
      <c r="D2" s="85" t="s">
        <v>49</v>
      </c>
      <c r="E2" s="80"/>
      <c r="F2" s="296" t="s">
        <v>53</v>
      </c>
      <c r="G2" s="297"/>
      <c r="H2" s="298"/>
      <c r="I2" s="296" t="s">
        <v>57</v>
      </c>
      <c r="J2" s="298"/>
      <c r="K2" s="36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</row>
    <row r="3" spans="1:173" s="78" customFormat="1" ht="15" customHeight="1" x14ac:dyDescent="0.2">
      <c r="A3" s="37">
        <v>37.5</v>
      </c>
      <c r="B3" s="71">
        <f>PARAMETROS!B8</f>
        <v>2255.0699999999997</v>
      </c>
      <c r="C3" s="72"/>
      <c r="D3" s="71">
        <f>I18</f>
        <v>342.3</v>
      </c>
      <c r="E3" s="34"/>
      <c r="F3" s="127" t="s">
        <v>52</v>
      </c>
      <c r="G3" s="127" t="s">
        <v>63</v>
      </c>
      <c r="H3" s="127" t="s">
        <v>64</v>
      </c>
      <c r="I3" s="128" t="s">
        <v>55</v>
      </c>
      <c r="J3" s="127" t="s">
        <v>56</v>
      </c>
      <c r="K3" s="27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</row>
    <row r="4" spans="1:173" s="79" customFormat="1" ht="15" customHeight="1" x14ac:dyDescent="0.2">
      <c r="A4" s="38">
        <v>36</v>
      </c>
      <c r="B4" s="73">
        <f>PRODUCT(PARAMETROS!B$8,A4)/A$3</f>
        <v>2164.8671999999997</v>
      </c>
      <c r="C4" s="74">
        <f t="shared" ref="C4:C39" si="0">(A4/$A$3*7.5*5)/7*30*$C$43</f>
        <v>976.6285714285716</v>
      </c>
      <c r="D4" s="73">
        <f>IF(B4&lt;C4,C4*$H$18%,B4*$H$18%)</f>
        <v>705.74670719999995</v>
      </c>
      <c r="E4" s="34"/>
      <c r="F4" s="299">
        <v>5</v>
      </c>
      <c r="G4" s="219">
        <v>1050</v>
      </c>
      <c r="H4" s="219">
        <v>4070.1</v>
      </c>
      <c r="I4" s="223">
        <v>1050</v>
      </c>
      <c r="J4" s="223">
        <v>4070.1</v>
      </c>
      <c r="K4" s="8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</row>
    <row r="5" spans="1:173" s="79" customFormat="1" ht="15" customHeight="1" x14ac:dyDescent="0.2">
      <c r="A5" s="38">
        <v>35</v>
      </c>
      <c r="B5" s="73">
        <f>PRODUCT(PARAMETROS!B$8,A5)/A$3</f>
        <v>2104.7319999999995</v>
      </c>
      <c r="C5" s="74">
        <f t="shared" si="0"/>
        <v>949.5</v>
      </c>
      <c r="D5" s="73">
        <f t="shared" ref="D5:D39" si="1">IF(B5&lt;C5,C5*$H$18%,B5*$H$18%)</f>
        <v>686.14263199999982</v>
      </c>
      <c r="E5" s="34"/>
      <c r="F5" s="300"/>
      <c r="G5" s="220"/>
      <c r="H5" s="220"/>
      <c r="I5" s="224"/>
      <c r="J5" s="224"/>
      <c r="K5" s="8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</row>
    <row r="6" spans="1:173" s="79" customFormat="1" ht="15" customHeight="1" x14ac:dyDescent="0.2">
      <c r="A6" s="38">
        <v>34</v>
      </c>
      <c r="B6" s="73">
        <f>PRODUCT(PARAMETROS!B$8,A6)/A$3</f>
        <v>2044.5967999999998</v>
      </c>
      <c r="C6" s="74">
        <f t="shared" si="0"/>
        <v>922.37142857142851</v>
      </c>
      <c r="D6" s="73">
        <f t="shared" si="1"/>
        <v>666.53855679999992</v>
      </c>
      <c r="E6" s="34"/>
      <c r="F6" s="35"/>
      <c r="G6" s="8"/>
      <c r="H6" s="8"/>
      <c r="I6" s="118"/>
      <c r="J6" s="8"/>
      <c r="K6" s="8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</row>
    <row r="7" spans="1:173" s="79" customFormat="1" ht="15" customHeight="1" thickBot="1" x14ac:dyDescent="0.25">
      <c r="A7" s="38">
        <v>33</v>
      </c>
      <c r="B7" s="73">
        <f>PRODUCT(PARAMETROS!B$8,A7)/A$3</f>
        <v>1984.4615999999999</v>
      </c>
      <c r="C7" s="74">
        <f t="shared" si="0"/>
        <v>895.24285714285725</v>
      </c>
      <c r="D7" s="73">
        <f t="shared" si="1"/>
        <v>646.93448160000003</v>
      </c>
      <c r="E7" s="34"/>
      <c r="F7" s="35"/>
      <c r="G7" s="19"/>
      <c r="H7" s="8"/>
      <c r="I7" s="118"/>
      <c r="J7" s="8"/>
      <c r="K7" s="8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</row>
    <row r="8" spans="1:173" s="79" customFormat="1" ht="15" customHeight="1" x14ac:dyDescent="0.2">
      <c r="A8" s="38">
        <v>32</v>
      </c>
      <c r="B8" s="73">
        <f>PRODUCT(PARAMETROS!B$8,A8)/A$3</f>
        <v>1924.3263999999997</v>
      </c>
      <c r="C8" s="74">
        <f t="shared" si="0"/>
        <v>868.11428571428564</v>
      </c>
      <c r="D8" s="73">
        <f t="shared" si="1"/>
        <v>627.3304063999999</v>
      </c>
      <c r="E8" s="34"/>
      <c r="F8" s="229" t="s">
        <v>103</v>
      </c>
      <c r="G8" s="229"/>
      <c r="H8" s="230"/>
      <c r="I8" s="227">
        <v>0</v>
      </c>
      <c r="J8" s="8"/>
      <c r="K8" s="8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</row>
    <row r="9" spans="1:173" s="79" customFormat="1" ht="15" customHeight="1" thickBot="1" x14ac:dyDescent="0.25">
      <c r="A9" s="38">
        <v>31</v>
      </c>
      <c r="B9" s="73">
        <f>PRODUCT(PARAMETROS!B$8,A9)/A$3</f>
        <v>1864.1911999999995</v>
      </c>
      <c r="C9" s="74">
        <f t="shared" si="0"/>
        <v>840.98571428571427</v>
      </c>
      <c r="D9" s="73">
        <f t="shared" si="1"/>
        <v>607.72633119999989</v>
      </c>
      <c r="E9" s="34"/>
      <c r="F9" s="229"/>
      <c r="G9" s="229"/>
      <c r="H9" s="230"/>
      <c r="I9" s="228"/>
      <c r="J9" s="8"/>
      <c r="K9" s="8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</row>
    <row r="10" spans="1:173" s="79" customFormat="1" ht="15" customHeight="1" thickBot="1" x14ac:dyDescent="0.25">
      <c r="A10" s="38">
        <v>30</v>
      </c>
      <c r="B10" s="73">
        <f>PRODUCT(PARAMETROS!B$8,A10)/A$3</f>
        <v>1804.0559999999998</v>
      </c>
      <c r="C10" s="74">
        <f t="shared" si="0"/>
        <v>813.85714285714278</v>
      </c>
      <c r="D10" s="73">
        <f t="shared" si="1"/>
        <v>588.12225599999999</v>
      </c>
      <c r="E10" s="34"/>
      <c r="F10" s="123"/>
      <c r="G10" s="124"/>
      <c r="H10" s="125"/>
      <c r="I10" s="126"/>
      <c r="J10" s="8"/>
      <c r="K10" s="8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</row>
    <row r="11" spans="1:173" s="79" customFormat="1" ht="15" customHeight="1" x14ac:dyDescent="0.2">
      <c r="A11" s="38">
        <v>29</v>
      </c>
      <c r="B11" s="73">
        <f>PRODUCT(PARAMETROS!B$8,A11)/A$3</f>
        <v>1743.9207999999999</v>
      </c>
      <c r="C11" s="74">
        <f t="shared" si="0"/>
        <v>786.72857142857151</v>
      </c>
      <c r="D11" s="73">
        <f t="shared" si="1"/>
        <v>568.51818079999998</v>
      </c>
      <c r="E11" s="34"/>
      <c r="F11" s="231" t="s">
        <v>65</v>
      </c>
      <c r="G11" s="232"/>
      <c r="H11" s="232"/>
      <c r="I11" s="233"/>
      <c r="J11" s="8"/>
      <c r="K11" s="8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</row>
    <row r="12" spans="1:173" s="79" customFormat="1" ht="15" customHeight="1" thickBot="1" x14ac:dyDescent="0.25">
      <c r="A12" s="38">
        <v>28</v>
      </c>
      <c r="B12" s="73">
        <f>PRODUCT(PARAMETROS!B$8,A12)/A$3</f>
        <v>1683.7855999999997</v>
      </c>
      <c r="C12" s="74">
        <f t="shared" si="0"/>
        <v>759.60000000000014</v>
      </c>
      <c r="D12" s="73">
        <f t="shared" si="1"/>
        <v>548.91410559999997</v>
      </c>
      <c r="E12" s="34"/>
      <c r="F12" s="234"/>
      <c r="G12" s="235"/>
      <c r="H12" s="235"/>
      <c r="I12" s="236"/>
      <c r="J12" s="8"/>
      <c r="K12" s="8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</row>
    <row r="13" spans="1:173" s="79" customFormat="1" ht="15" customHeight="1" thickBot="1" x14ac:dyDescent="0.25">
      <c r="A13" s="38">
        <v>27</v>
      </c>
      <c r="B13" s="73">
        <f>PRODUCT(PARAMETROS!B$8,A13)/A$3</f>
        <v>1623.6503999999998</v>
      </c>
      <c r="C13" s="74">
        <f t="shared" si="0"/>
        <v>732.47142857142853</v>
      </c>
      <c r="D13" s="73">
        <f t="shared" si="1"/>
        <v>529.31003039999996</v>
      </c>
      <c r="E13" s="34"/>
      <c r="F13" s="120"/>
      <c r="G13" s="138" t="s">
        <v>58</v>
      </c>
      <c r="H13" s="136" t="s">
        <v>59</v>
      </c>
      <c r="I13" s="145" t="s">
        <v>60</v>
      </c>
      <c r="J13" s="8"/>
      <c r="K13" s="8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</row>
    <row r="14" spans="1:173" s="79" customFormat="1" ht="15" customHeight="1" x14ac:dyDescent="0.2">
      <c r="A14" s="38">
        <v>26</v>
      </c>
      <c r="B14" s="73">
        <f>PRODUCT(PARAMETROS!B$8,A14)/A$3</f>
        <v>1563.5151999999998</v>
      </c>
      <c r="C14" s="74">
        <f t="shared" si="0"/>
        <v>705.34285714285716</v>
      </c>
      <c r="D14" s="73">
        <f t="shared" si="1"/>
        <v>509.70595519999995</v>
      </c>
      <c r="E14" s="34"/>
      <c r="F14" s="245" t="s">
        <v>61</v>
      </c>
      <c r="G14" s="239">
        <f>IF(I8&gt;=G4,I8,G4)</f>
        <v>1050</v>
      </c>
      <c r="H14" s="260">
        <v>23.6</v>
      </c>
      <c r="I14" s="243">
        <f>G14*H14%</f>
        <v>247.8</v>
      </c>
      <c r="J14" s="8"/>
      <c r="K14" s="8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</row>
    <row r="15" spans="1:173" s="79" customFormat="1" ht="15" customHeight="1" thickBot="1" x14ac:dyDescent="0.25">
      <c r="A15" s="38">
        <v>25</v>
      </c>
      <c r="B15" s="73">
        <f>PRODUCT(PARAMETROS!B$8,A15)/A$3</f>
        <v>1503.3799999999999</v>
      </c>
      <c r="C15" s="74">
        <f t="shared" si="0"/>
        <v>678.21428571428578</v>
      </c>
      <c r="D15" s="73">
        <f t="shared" si="1"/>
        <v>490.10187999999999</v>
      </c>
      <c r="E15" s="34"/>
      <c r="F15" s="246"/>
      <c r="G15" s="240"/>
      <c r="H15" s="261"/>
      <c r="I15" s="262"/>
      <c r="J15" s="8"/>
      <c r="K15" s="8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</row>
    <row r="16" spans="1:173" s="79" customFormat="1" ht="15" customHeight="1" x14ac:dyDescent="0.2">
      <c r="A16" s="38">
        <v>24</v>
      </c>
      <c r="B16" s="73">
        <f>PRODUCT(PARAMETROS!B$8,A16)/A$3</f>
        <v>1443.2447999999997</v>
      </c>
      <c r="C16" s="74">
        <f t="shared" si="0"/>
        <v>651.08571428571418</v>
      </c>
      <c r="D16" s="73">
        <f t="shared" si="1"/>
        <v>470.49780479999993</v>
      </c>
      <c r="E16" s="34"/>
      <c r="F16" s="245" t="s">
        <v>62</v>
      </c>
      <c r="G16" s="239">
        <f>IF(I8&gt;=I4,I8,I4)</f>
        <v>1050</v>
      </c>
      <c r="H16" s="260">
        <v>9</v>
      </c>
      <c r="I16" s="243">
        <f>G16*H16%</f>
        <v>94.5</v>
      </c>
      <c r="J16" s="8"/>
      <c r="K16" s="8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</row>
    <row r="17" spans="1:173" s="79" customFormat="1" ht="15" customHeight="1" thickBot="1" x14ac:dyDescent="0.25">
      <c r="A17" s="38">
        <v>23</v>
      </c>
      <c r="B17" s="73">
        <f>PRODUCT(PARAMETROS!B$8,A17)/A$3</f>
        <v>1383.1095999999998</v>
      </c>
      <c r="C17" s="74">
        <f t="shared" si="0"/>
        <v>623.9571428571428</v>
      </c>
      <c r="D17" s="73">
        <f t="shared" si="1"/>
        <v>450.89372959999992</v>
      </c>
      <c r="E17" s="34"/>
      <c r="F17" s="246"/>
      <c r="G17" s="240"/>
      <c r="H17" s="261"/>
      <c r="I17" s="262"/>
      <c r="J17" s="8"/>
      <c r="K17" s="8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</row>
    <row r="18" spans="1:173" s="79" customFormat="1" ht="15" customHeight="1" thickBot="1" x14ac:dyDescent="0.25">
      <c r="A18" s="38">
        <v>22</v>
      </c>
      <c r="B18" s="73">
        <f>PRODUCT(PARAMETROS!B$8,A18)/A$3</f>
        <v>1322.9743999999998</v>
      </c>
      <c r="C18" s="74">
        <f t="shared" si="0"/>
        <v>596.82857142857142</v>
      </c>
      <c r="D18" s="73">
        <f t="shared" si="1"/>
        <v>431.28965439999996</v>
      </c>
      <c r="E18" s="34"/>
      <c r="F18" s="225" t="s">
        <v>66</v>
      </c>
      <c r="G18" s="226"/>
      <c r="H18" s="137">
        <f>(H14+H16)</f>
        <v>32.6</v>
      </c>
      <c r="I18" s="133">
        <f>SUM(I14:I17)</f>
        <v>342.3</v>
      </c>
      <c r="J18" s="8"/>
      <c r="K18" s="8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</row>
    <row r="19" spans="1:173" s="79" customFormat="1" ht="15" customHeight="1" x14ac:dyDescent="0.2">
      <c r="A19" s="38">
        <v>21</v>
      </c>
      <c r="B19" s="73">
        <f>PRODUCT(PARAMETROS!B$8,A19)/A$3</f>
        <v>1262.8391999999999</v>
      </c>
      <c r="C19" s="74">
        <f t="shared" si="0"/>
        <v>569.70000000000005</v>
      </c>
      <c r="D19" s="73">
        <f t="shared" si="1"/>
        <v>411.68557920000001</v>
      </c>
      <c r="E19" s="34"/>
      <c r="F19" s="129"/>
      <c r="G19" s="130"/>
      <c r="H19" s="131"/>
      <c r="I19" s="132"/>
      <c r="J19" s="8"/>
      <c r="K19" s="8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</row>
    <row r="20" spans="1:173" s="79" customFormat="1" ht="15" customHeight="1" x14ac:dyDescent="0.2">
      <c r="A20" s="38">
        <v>20</v>
      </c>
      <c r="B20" s="73">
        <f>PRODUCT(PARAMETROS!B$8,A20)/A$3</f>
        <v>1202.704</v>
      </c>
      <c r="C20" s="74">
        <f t="shared" si="0"/>
        <v>542.57142857142867</v>
      </c>
      <c r="D20" s="73">
        <f t="shared" si="1"/>
        <v>392.081504</v>
      </c>
      <c r="E20" s="34"/>
      <c r="F20" s="214" t="s">
        <v>81</v>
      </c>
      <c r="G20" s="214"/>
      <c r="H20" s="214"/>
      <c r="I20" s="214"/>
      <c r="J20" s="214"/>
      <c r="K20" s="150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</row>
    <row r="21" spans="1:173" s="79" customFormat="1" ht="15" customHeight="1" x14ac:dyDescent="0.2">
      <c r="A21" s="38">
        <v>19</v>
      </c>
      <c r="B21" s="73">
        <f>PRODUCT(PARAMETROS!B$8,A21)/A$3</f>
        <v>1142.5687999999998</v>
      </c>
      <c r="C21" s="74">
        <f t="shared" si="0"/>
        <v>515.44285714285718</v>
      </c>
      <c r="D21" s="73">
        <f t="shared" si="1"/>
        <v>372.47742879999993</v>
      </c>
      <c r="E21" s="34"/>
      <c r="F21" s="214"/>
      <c r="G21" s="214"/>
      <c r="H21" s="214"/>
      <c r="I21" s="214"/>
      <c r="J21" s="214"/>
      <c r="K21" s="150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</row>
    <row r="22" spans="1:173" s="79" customFormat="1" ht="15" customHeight="1" thickBot="1" x14ac:dyDescent="0.25">
      <c r="A22" s="38">
        <v>18</v>
      </c>
      <c r="B22" s="73">
        <f>PRODUCT(PARAMETROS!B$8,A22)/A$3</f>
        <v>1082.4335999999998</v>
      </c>
      <c r="C22" s="74">
        <f t="shared" si="0"/>
        <v>488.3142857142858</v>
      </c>
      <c r="D22" s="73">
        <f t="shared" si="1"/>
        <v>352.87335359999997</v>
      </c>
      <c r="E22" s="34"/>
      <c r="F22" s="35"/>
      <c r="G22" s="19"/>
      <c r="H22" s="8"/>
      <c r="I22" s="118"/>
      <c r="J22" s="8"/>
      <c r="K22" s="8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</row>
    <row r="23" spans="1:173" s="79" customFormat="1" ht="15" customHeight="1" x14ac:dyDescent="0.2">
      <c r="A23" s="38">
        <v>17</v>
      </c>
      <c r="B23" s="73">
        <f>PRODUCT(PARAMETROS!B$8,A23)/A$3</f>
        <v>1022.2983999999999</v>
      </c>
      <c r="C23" s="74">
        <f t="shared" si="0"/>
        <v>461.18571428571425</v>
      </c>
      <c r="D23" s="73">
        <f t="shared" si="1"/>
        <v>333.26927839999996</v>
      </c>
      <c r="E23" s="34"/>
      <c r="F23" s="229" t="s">
        <v>67</v>
      </c>
      <c r="G23" s="229"/>
      <c r="H23" s="230"/>
      <c r="I23" s="249">
        <v>0</v>
      </c>
      <c r="J23" s="8"/>
      <c r="K23" s="8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</row>
    <row r="24" spans="1:173" s="79" customFormat="1" ht="15" customHeight="1" thickBot="1" x14ac:dyDescent="0.25">
      <c r="A24" s="38">
        <v>16</v>
      </c>
      <c r="B24" s="73">
        <f>PRODUCT(PARAMETROS!B$8,A24)/A$3</f>
        <v>962.16319999999985</v>
      </c>
      <c r="C24" s="74">
        <f t="shared" si="0"/>
        <v>434.05714285714282</v>
      </c>
      <c r="D24" s="73">
        <f t="shared" si="1"/>
        <v>313.66520319999995</v>
      </c>
      <c r="E24" s="34"/>
      <c r="F24" s="229"/>
      <c r="G24" s="229"/>
      <c r="H24" s="230"/>
      <c r="I24" s="250"/>
      <c r="J24" s="8"/>
      <c r="K24" s="8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</row>
    <row r="25" spans="1:173" s="79" customFormat="1" ht="15" customHeight="1" thickBot="1" x14ac:dyDescent="0.25">
      <c r="A25" s="38">
        <v>15</v>
      </c>
      <c r="B25" s="73">
        <f>PRODUCT(PARAMETROS!B$8,A25)/A$3</f>
        <v>902.02799999999991</v>
      </c>
      <c r="C25" s="74">
        <f t="shared" si="0"/>
        <v>406.92857142857139</v>
      </c>
      <c r="D25" s="73">
        <f t="shared" si="1"/>
        <v>294.061128</v>
      </c>
      <c r="E25" s="34"/>
      <c r="F25" s="35"/>
      <c r="G25" s="19"/>
      <c r="H25" s="8"/>
      <c r="I25" s="118"/>
      <c r="J25" s="8"/>
      <c r="K25" s="8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</row>
    <row r="26" spans="1:173" s="79" customFormat="1" ht="15" customHeight="1" x14ac:dyDescent="0.2">
      <c r="A26" s="38">
        <v>14</v>
      </c>
      <c r="B26" s="73">
        <f>PRODUCT(PARAMETROS!B$8,A26)/A$3</f>
        <v>841.89279999999985</v>
      </c>
      <c r="C26" s="74">
        <f t="shared" si="0"/>
        <v>379.80000000000007</v>
      </c>
      <c r="D26" s="73">
        <f t="shared" si="1"/>
        <v>274.45705279999999</v>
      </c>
      <c r="E26" s="34"/>
      <c r="F26" s="229" t="s">
        <v>72</v>
      </c>
      <c r="G26" s="229"/>
      <c r="H26" s="230"/>
      <c r="I26" s="227">
        <v>0</v>
      </c>
      <c r="J26" s="8"/>
      <c r="K26" s="8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</row>
    <row r="27" spans="1:173" s="79" customFormat="1" ht="15" customHeight="1" thickBot="1" x14ac:dyDescent="0.25">
      <c r="A27" s="38">
        <v>13</v>
      </c>
      <c r="B27" s="73">
        <f>PRODUCT(PARAMETROS!B$8,A27)/A$3</f>
        <v>781.75759999999991</v>
      </c>
      <c r="C27" s="74">
        <f t="shared" si="0"/>
        <v>352.67142857142858</v>
      </c>
      <c r="D27" s="73">
        <f t="shared" si="1"/>
        <v>254.85297759999997</v>
      </c>
      <c r="E27" s="34"/>
      <c r="F27" s="229"/>
      <c r="G27" s="229"/>
      <c r="H27" s="230"/>
      <c r="I27" s="228"/>
      <c r="J27" s="8"/>
      <c r="K27" s="8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</row>
    <row r="28" spans="1:173" s="79" customFormat="1" ht="15" customHeight="1" thickBot="1" x14ac:dyDescent="0.25">
      <c r="A28" s="38">
        <v>12</v>
      </c>
      <c r="B28" s="73">
        <f>PRODUCT(PARAMETROS!B$8,A28)/A$3</f>
        <v>721.62239999999986</v>
      </c>
      <c r="C28" s="74">
        <f t="shared" si="0"/>
        <v>325.54285714285709</v>
      </c>
      <c r="D28" s="73">
        <f t="shared" si="1"/>
        <v>235.24890239999996</v>
      </c>
      <c r="E28" s="34"/>
      <c r="F28" s="35"/>
      <c r="G28" s="19"/>
      <c r="H28" s="8"/>
      <c r="I28" s="118"/>
      <c r="J28" s="8"/>
      <c r="K28" s="8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</row>
    <row r="29" spans="1:173" s="79" customFormat="1" ht="15" customHeight="1" x14ac:dyDescent="0.2">
      <c r="A29" s="38">
        <v>11</v>
      </c>
      <c r="B29" s="73">
        <f>PRODUCT(PARAMETROS!B$8,A29)/A$3</f>
        <v>661.48719999999992</v>
      </c>
      <c r="C29" s="74">
        <f t="shared" si="0"/>
        <v>298.41428571428571</v>
      </c>
      <c r="D29" s="73">
        <f t="shared" si="1"/>
        <v>215.64482719999998</v>
      </c>
      <c r="E29" s="34"/>
      <c r="F29" s="231" t="s">
        <v>68</v>
      </c>
      <c r="G29" s="232"/>
      <c r="H29" s="232"/>
      <c r="I29" s="233"/>
      <c r="J29" s="8"/>
      <c r="K29" s="8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</row>
    <row r="30" spans="1:173" s="79" customFormat="1" ht="15" customHeight="1" thickBot="1" x14ac:dyDescent="0.25">
      <c r="A30" s="38">
        <v>10</v>
      </c>
      <c r="B30" s="73">
        <f>PRODUCT(PARAMETROS!B$8,A30)/A$3</f>
        <v>601.35199999999998</v>
      </c>
      <c r="C30" s="74">
        <f t="shared" si="0"/>
        <v>271.28571428571433</v>
      </c>
      <c r="D30" s="73">
        <f t="shared" si="1"/>
        <v>196.040752</v>
      </c>
      <c r="E30" s="34"/>
      <c r="F30" s="234"/>
      <c r="G30" s="235"/>
      <c r="H30" s="235"/>
      <c r="I30" s="236"/>
      <c r="J30" s="8"/>
      <c r="K30" s="8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</row>
    <row r="31" spans="1:173" s="79" customFormat="1" ht="15" customHeight="1" thickBot="1" x14ac:dyDescent="0.25">
      <c r="A31" s="38">
        <v>9</v>
      </c>
      <c r="B31" s="73">
        <f>PRODUCT(PARAMETROS!B$8,A31)/A$3</f>
        <v>541.21679999999992</v>
      </c>
      <c r="C31" s="74">
        <f t="shared" si="0"/>
        <v>244.1571428571429</v>
      </c>
      <c r="D31" s="73">
        <f t="shared" si="1"/>
        <v>176.43667679999999</v>
      </c>
      <c r="E31" s="34"/>
      <c r="F31" s="140" t="s">
        <v>73</v>
      </c>
      <c r="G31" s="138" t="s">
        <v>58</v>
      </c>
      <c r="H31" s="136" t="s">
        <v>74</v>
      </c>
      <c r="I31" s="122" t="s">
        <v>60</v>
      </c>
      <c r="J31" s="8"/>
      <c r="K31" s="8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</row>
    <row r="32" spans="1:173" s="79" customFormat="1" ht="15" customHeight="1" x14ac:dyDescent="0.2">
      <c r="A32" s="38">
        <v>8</v>
      </c>
      <c r="B32" s="73">
        <f>PRODUCT(PARAMETROS!B$8,A32)/A$3</f>
        <v>481.08159999999992</v>
      </c>
      <c r="C32" s="74">
        <f t="shared" si="0"/>
        <v>217.02857142857141</v>
      </c>
      <c r="D32" s="73">
        <f t="shared" si="1"/>
        <v>156.83260159999998</v>
      </c>
      <c r="E32" s="34"/>
      <c r="F32" s="295">
        <f>((I23/37.5*7.5*5)/7)*30*$C$43</f>
        <v>0</v>
      </c>
      <c r="G32" s="258">
        <f>IF(I26&lt;F32,F32,I26)</f>
        <v>0</v>
      </c>
      <c r="H32" s="260">
        <v>32.6</v>
      </c>
      <c r="I32" s="243">
        <f>G32*H32%</f>
        <v>0</v>
      </c>
      <c r="J32" s="8"/>
      <c r="K32" s="8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</row>
    <row r="33" spans="1:173" s="79" customFormat="1" ht="15" customHeight="1" thickBot="1" x14ac:dyDescent="0.25">
      <c r="A33" s="38">
        <v>7</v>
      </c>
      <c r="B33" s="73">
        <f>PRODUCT(PARAMETROS!B$8,A33)/A$3</f>
        <v>420.94639999999993</v>
      </c>
      <c r="C33" s="74">
        <f t="shared" si="0"/>
        <v>189.90000000000003</v>
      </c>
      <c r="D33" s="73">
        <f t="shared" si="1"/>
        <v>137.22852639999999</v>
      </c>
      <c r="E33" s="34"/>
      <c r="F33" s="257"/>
      <c r="G33" s="259"/>
      <c r="H33" s="261"/>
      <c r="I33" s="262"/>
      <c r="J33" s="8"/>
      <c r="K33" s="8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</row>
    <row r="34" spans="1:173" s="79" customFormat="1" ht="15" customHeight="1" thickBot="1" x14ac:dyDescent="0.25">
      <c r="A34" s="38">
        <v>6</v>
      </c>
      <c r="B34" s="73">
        <f>PRODUCT(PARAMETROS!B$8,A34)/A$3</f>
        <v>360.81119999999993</v>
      </c>
      <c r="C34" s="74">
        <f t="shared" si="0"/>
        <v>162.77142857142854</v>
      </c>
      <c r="D34" s="73">
        <f t="shared" si="1"/>
        <v>117.62445119999998</v>
      </c>
      <c r="E34" s="34"/>
      <c r="F34" s="251" t="s">
        <v>69</v>
      </c>
      <c r="G34" s="252"/>
      <c r="H34" s="253"/>
      <c r="I34" s="133">
        <f>SUM(I32)</f>
        <v>0</v>
      </c>
      <c r="J34" s="8"/>
      <c r="K34" s="8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</row>
    <row r="35" spans="1:173" s="79" customFormat="1" ht="15" customHeight="1" x14ac:dyDescent="0.2">
      <c r="A35" s="38">
        <v>5</v>
      </c>
      <c r="B35" s="73">
        <f>PRODUCT(PARAMETROS!B$8,A35)/A$3</f>
        <v>300.67599999999999</v>
      </c>
      <c r="C35" s="74">
        <f t="shared" si="0"/>
        <v>135.64285714285717</v>
      </c>
      <c r="D35" s="73">
        <f t="shared" si="1"/>
        <v>98.020375999999999</v>
      </c>
      <c r="E35" s="34"/>
      <c r="F35" s="35"/>
      <c r="G35" s="19"/>
      <c r="H35" s="8"/>
      <c r="I35" s="118"/>
      <c r="J35" s="8"/>
      <c r="K35" s="139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</row>
    <row r="36" spans="1:173" s="79" customFormat="1" ht="15" customHeight="1" x14ac:dyDescent="0.2">
      <c r="A36" s="38">
        <v>4</v>
      </c>
      <c r="B36" s="73">
        <f>PRODUCT(PARAMETROS!B$8,A36)/A$3</f>
        <v>240.54079999999996</v>
      </c>
      <c r="C36" s="74">
        <f t="shared" si="0"/>
        <v>108.51428571428571</v>
      </c>
      <c r="D36" s="73">
        <f t="shared" si="1"/>
        <v>78.416300799999988</v>
      </c>
      <c r="E36" s="34"/>
      <c r="F36" s="275" t="s">
        <v>71</v>
      </c>
      <c r="G36" s="275"/>
      <c r="H36" s="275"/>
      <c r="I36" s="255" t="s">
        <v>70</v>
      </c>
      <c r="J36" s="34"/>
      <c r="K36" s="139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</row>
    <row r="37" spans="1:173" s="79" customFormat="1" ht="15" customHeight="1" x14ac:dyDescent="0.2">
      <c r="A37" s="38">
        <v>3</v>
      </c>
      <c r="B37" s="73">
        <f>PRODUCT(PARAMETROS!B$8,A37)/A$3</f>
        <v>180.40559999999996</v>
      </c>
      <c r="C37" s="74">
        <f t="shared" si="0"/>
        <v>81.385714285714272</v>
      </c>
      <c r="D37" s="73">
        <f t="shared" si="1"/>
        <v>58.812225599999991</v>
      </c>
      <c r="E37" s="34"/>
      <c r="F37" s="275"/>
      <c r="G37" s="275"/>
      <c r="H37" s="275"/>
      <c r="I37" s="255"/>
      <c r="J37" s="34"/>
      <c r="K37" s="139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</row>
    <row r="38" spans="1:173" s="79" customFormat="1" ht="15" customHeight="1" x14ac:dyDescent="0.2">
      <c r="A38" s="38">
        <v>2</v>
      </c>
      <c r="B38" s="73">
        <f>PRODUCT(PARAMETROS!B$8,A38)/A$3</f>
        <v>120.27039999999998</v>
      </c>
      <c r="C38" s="74">
        <f t="shared" si="0"/>
        <v>54.257142857142853</v>
      </c>
      <c r="D38" s="73">
        <f t="shared" si="1"/>
        <v>39.208150399999994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</row>
    <row r="39" spans="1:173" s="79" customFormat="1" ht="15" customHeight="1" x14ac:dyDescent="0.2">
      <c r="A39" s="39">
        <v>1</v>
      </c>
      <c r="B39" s="75">
        <f>PRODUCT(PARAMETROS!B$8,A39)/A$3</f>
        <v>60.13519999999999</v>
      </c>
      <c r="C39" s="76">
        <f t="shared" si="0"/>
        <v>27.128571428571426</v>
      </c>
      <c r="D39" s="75">
        <f t="shared" si="1"/>
        <v>19.604075199999997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</row>
    <row r="43" spans="1:173" s="8" customFormat="1" ht="26.25" hidden="1" thickBot="1" x14ac:dyDescent="0.25">
      <c r="A43" s="33"/>
      <c r="B43" s="209" t="s">
        <v>34</v>
      </c>
      <c r="C43" s="210">
        <v>6.33</v>
      </c>
      <c r="D43" s="106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</row>
  </sheetData>
  <sheetProtection algorithmName="SHA-512" hashValue="r/2fekJnq8EnyuPhugczWQDWkc9exvTaF+upzE/sPAc4dNTnQ7fsI7KQu53pBxnO4e/q4ndfuL0lwmpbnUPUWA==" saltValue="CL9QvRuxmo6xStnVOXuKZw==" spinCount="100000" sheet="1" objects="1" scenarios="1"/>
  <protectedRanges>
    <protectedRange sqref="I36" name="CALCULO RC"/>
    <protectedRange sqref="I8" name="RET TC_1"/>
    <protectedRange sqref="I23" name="DED_1"/>
    <protectedRange sqref="I26" name="RET TP_1"/>
  </protectedRanges>
  <mergeCells count="33">
    <mergeCell ref="A1:D1"/>
    <mergeCell ref="F2:H2"/>
    <mergeCell ref="I2:J2"/>
    <mergeCell ref="F4:F5"/>
    <mergeCell ref="G4:G5"/>
    <mergeCell ref="H4:H5"/>
    <mergeCell ref="I4:I5"/>
    <mergeCell ref="J4:J5"/>
    <mergeCell ref="F8:H9"/>
    <mergeCell ref="I8:I9"/>
    <mergeCell ref="F11:I12"/>
    <mergeCell ref="F14:F15"/>
    <mergeCell ref="G14:G15"/>
    <mergeCell ref="H14:H15"/>
    <mergeCell ref="I14:I15"/>
    <mergeCell ref="F16:F17"/>
    <mergeCell ref="G16:G17"/>
    <mergeCell ref="H16:H17"/>
    <mergeCell ref="I16:I17"/>
    <mergeCell ref="F18:G18"/>
    <mergeCell ref="F20:J21"/>
    <mergeCell ref="F36:H37"/>
    <mergeCell ref="F34:H34"/>
    <mergeCell ref="I36:I37"/>
    <mergeCell ref="F29:I30"/>
    <mergeCell ref="F32:F33"/>
    <mergeCell ref="G32:G33"/>
    <mergeCell ref="H32:H33"/>
    <mergeCell ref="I32:I33"/>
    <mergeCell ref="F23:H24"/>
    <mergeCell ref="I23:I24"/>
    <mergeCell ref="F26:H27"/>
    <mergeCell ref="I26:I27"/>
  </mergeCells>
  <phoneticPr fontId="0" type="noConversion"/>
  <hyperlinks>
    <hyperlink ref="I36:I37" r:id="rId1" display="CALCULO RC"/>
  </hyperlinks>
  <printOptions horizontalCentered="1"/>
  <pageMargins left="0.94488188976377963" right="0.94488188976377963" top="0" bottom="0.39370078740157483" header="0" footer="0"/>
  <pageSetup paperSize="9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43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5.140625" style="1" bestFit="1" customWidth="1"/>
    <col min="2" max="2" width="33.5703125" style="1" customWidth="1"/>
    <col min="3" max="3" width="19.7109375" style="3" hidden="1" customWidth="1"/>
    <col min="4" max="4" width="32.7109375" style="1" customWidth="1"/>
    <col min="5" max="5" width="13.42578125" customWidth="1"/>
    <col min="6" max="6" width="20.28515625" customWidth="1"/>
    <col min="7" max="7" width="26.42578125" bestFit="1" customWidth="1"/>
    <col min="8" max="8" width="26.7109375" customWidth="1"/>
    <col min="9" max="9" width="17" customWidth="1"/>
    <col min="10" max="10" width="15.140625" bestFit="1" customWidth="1"/>
  </cols>
  <sheetData>
    <row r="1" spans="1:170" s="8" customFormat="1" ht="65.25" customHeight="1" x14ac:dyDescent="0.2">
      <c r="A1" s="215" t="s">
        <v>101</v>
      </c>
      <c r="B1" s="215"/>
      <c r="C1" s="215"/>
      <c r="D1" s="215"/>
      <c r="E1" s="2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</row>
    <row r="2" spans="1:170" s="27" customFormat="1" ht="25.5" x14ac:dyDescent="0.2">
      <c r="A2" s="40" t="s">
        <v>45</v>
      </c>
      <c r="B2" s="65" t="s">
        <v>46</v>
      </c>
      <c r="C2" s="86" t="s">
        <v>107</v>
      </c>
      <c r="D2" s="67" t="s">
        <v>49</v>
      </c>
      <c r="E2" s="17"/>
      <c r="F2" s="296" t="s">
        <v>53</v>
      </c>
      <c r="G2" s="297"/>
      <c r="H2" s="298"/>
      <c r="I2" s="296" t="s">
        <v>57</v>
      </c>
      <c r="J2" s="298"/>
      <c r="K2" s="36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</row>
    <row r="3" spans="1:170" ht="15" customHeight="1" x14ac:dyDescent="0.2">
      <c r="A3" s="37">
        <v>37.5</v>
      </c>
      <c r="B3" s="71">
        <f>PARAMETROS!B9</f>
        <v>1936.7083333333333</v>
      </c>
      <c r="C3" s="72"/>
      <c r="D3" s="71">
        <f>I18</f>
        <v>342.3</v>
      </c>
      <c r="F3" s="127" t="s">
        <v>52</v>
      </c>
      <c r="G3" s="127" t="s">
        <v>63</v>
      </c>
      <c r="H3" s="127" t="s">
        <v>64</v>
      </c>
      <c r="I3" s="128" t="s">
        <v>55</v>
      </c>
      <c r="J3" s="127" t="s">
        <v>56</v>
      </c>
      <c r="K3" s="27"/>
    </row>
    <row r="4" spans="1:170" ht="15" customHeight="1" x14ac:dyDescent="0.2">
      <c r="A4" s="38">
        <v>36</v>
      </c>
      <c r="B4" s="73">
        <f>PRODUCT(B$3,A4)/A$3</f>
        <v>1859.24</v>
      </c>
      <c r="C4" s="74">
        <f t="shared" ref="C4:C39" si="0">(A4/$A$3*7.5*5)/7*30*$C$43</f>
        <v>976.6285714285716</v>
      </c>
      <c r="D4" s="73">
        <f>IF(B4&lt;C4,C4*$H$18%,B4*$H$18%)</f>
        <v>606.11224000000004</v>
      </c>
      <c r="F4" s="299">
        <v>7</v>
      </c>
      <c r="G4" s="219">
        <v>1050</v>
      </c>
      <c r="H4" s="219">
        <v>4070.1</v>
      </c>
      <c r="I4" s="223">
        <v>1050</v>
      </c>
      <c r="J4" s="223">
        <v>4070.1</v>
      </c>
      <c r="K4" s="8"/>
    </row>
    <row r="5" spans="1:170" ht="15" customHeight="1" x14ac:dyDescent="0.2">
      <c r="A5" s="38">
        <v>35</v>
      </c>
      <c r="B5" s="73">
        <f>PRODUCT(B$3,A5)/A$3</f>
        <v>1807.5944444444442</v>
      </c>
      <c r="C5" s="74">
        <f t="shared" si="0"/>
        <v>949.5</v>
      </c>
      <c r="D5" s="73">
        <f t="shared" ref="D5:D39" si="1">IF(B5&lt;C5,C5*$H$18%,B5*$H$18%)</f>
        <v>589.27578888888888</v>
      </c>
      <c r="F5" s="300"/>
      <c r="G5" s="220"/>
      <c r="H5" s="220"/>
      <c r="I5" s="224"/>
      <c r="J5" s="224"/>
      <c r="K5" s="8"/>
    </row>
    <row r="6" spans="1:170" ht="15" customHeight="1" x14ac:dyDescent="0.2">
      <c r="A6" s="38">
        <v>34</v>
      </c>
      <c r="B6" s="73">
        <f t="shared" ref="B6:B39" si="2">PRODUCT(B$3,A6)/A$3</f>
        <v>1755.9488888888889</v>
      </c>
      <c r="C6" s="74">
        <f t="shared" si="0"/>
        <v>922.37142857142851</v>
      </c>
      <c r="D6" s="73">
        <f t="shared" si="1"/>
        <v>572.43933777777784</v>
      </c>
      <c r="F6" s="35"/>
      <c r="G6" s="8"/>
      <c r="H6" s="8"/>
      <c r="I6" s="118"/>
      <c r="J6" s="8"/>
      <c r="K6" s="8"/>
    </row>
    <row r="7" spans="1:170" ht="15" customHeight="1" thickBot="1" x14ac:dyDescent="0.25">
      <c r="A7" s="38">
        <v>33</v>
      </c>
      <c r="B7" s="73">
        <f t="shared" si="2"/>
        <v>1704.3033333333333</v>
      </c>
      <c r="C7" s="74">
        <f t="shared" si="0"/>
        <v>895.24285714285725</v>
      </c>
      <c r="D7" s="73">
        <f t="shared" si="1"/>
        <v>555.60288666666668</v>
      </c>
      <c r="F7" s="35"/>
      <c r="G7" s="19"/>
      <c r="H7" s="8"/>
      <c r="I7" s="118"/>
      <c r="J7" s="8"/>
      <c r="K7" s="8"/>
    </row>
    <row r="8" spans="1:170" ht="15" customHeight="1" x14ac:dyDescent="0.2">
      <c r="A8" s="38">
        <v>32</v>
      </c>
      <c r="B8" s="73">
        <f t="shared" si="2"/>
        <v>1652.6577777777777</v>
      </c>
      <c r="C8" s="74">
        <f t="shared" si="0"/>
        <v>868.11428571428564</v>
      </c>
      <c r="D8" s="73">
        <f t="shared" si="1"/>
        <v>538.76643555555552</v>
      </c>
      <c r="F8" s="229" t="s">
        <v>103</v>
      </c>
      <c r="G8" s="229"/>
      <c r="H8" s="230"/>
      <c r="I8" s="227">
        <v>0</v>
      </c>
      <c r="J8" s="8"/>
      <c r="K8" s="8"/>
    </row>
    <row r="9" spans="1:170" ht="15" customHeight="1" thickBot="1" x14ac:dyDescent="0.25">
      <c r="A9" s="38">
        <v>31</v>
      </c>
      <c r="B9" s="73">
        <f t="shared" si="2"/>
        <v>1601.0122222222221</v>
      </c>
      <c r="C9" s="74">
        <f t="shared" si="0"/>
        <v>840.98571428571427</v>
      </c>
      <c r="D9" s="73">
        <f t="shared" si="1"/>
        <v>521.92998444444447</v>
      </c>
      <c r="F9" s="229"/>
      <c r="G9" s="229"/>
      <c r="H9" s="230"/>
      <c r="I9" s="228"/>
      <c r="J9" s="8"/>
      <c r="K9" s="8"/>
    </row>
    <row r="10" spans="1:170" ht="15" customHeight="1" thickBot="1" x14ac:dyDescent="0.25">
      <c r="A10" s="38">
        <v>30</v>
      </c>
      <c r="B10" s="73">
        <f t="shared" si="2"/>
        <v>1549.3666666666666</v>
      </c>
      <c r="C10" s="74">
        <f t="shared" si="0"/>
        <v>813.85714285714278</v>
      </c>
      <c r="D10" s="73">
        <f t="shared" si="1"/>
        <v>505.09353333333331</v>
      </c>
      <c r="F10" s="123"/>
      <c r="G10" s="124"/>
      <c r="H10" s="125"/>
      <c r="I10" s="126"/>
      <c r="J10" s="8"/>
      <c r="K10" s="8"/>
    </row>
    <row r="11" spans="1:170" ht="15" customHeight="1" x14ac:dyDescent="0.2">
      <c r="A11" s="38">
        <v>29</v>
      </c>
      <c r="B11" s="73">
        <f t="shared" si="2"/>
        <v>1497.721111111111</v>
      </c>
      <c r="C11" s="74">
        <f t="shared" si="0"/>
        <v>786.72857142857151</v>
      </c>
      <c r="D11" s="73">
        <f t="shared" si="1"/>
        <v>488.25708222222221</v>
      </c>
      <c r="F11" s="231" t="s">
        <v>65</v>
      </c>
      <c r="G11" s="232"/>
      <c r="H11" s="232"/>
      <c r="I11" s="233"/>
      <c r="J11" s="8"/>
      <c r="K11" s="8"/>
    </row>
    <row r="12" spans="1:170" ht="15" customHeight="1" thickBot="1" x14ac:dyDescent="0.25">
      <c r="A12" s="38">
        <v>28</v>
      </c>
      <c r="B12" s="73">
        <f t="shared" si="2"/>
        <v>1446.0755555555554</v>
      </c>
      <c r="C12" s="74">
        <f t="shared" si="0"/>
        <v>759.60000000000014</v>
      </c>
      <c r="D12" s="73">
        <f t="shared" si="1"/>
        <v>471.42063111111111</v>
      </c>
      <c r="F12" s="234"/>
      <c r="G12" s="235"/>
      <c r="H12" s="235"/>
      <c r="I12" s="236"/>
      <c r="J12" s="8"/>
      <c r="K12" s="8"/>
    </row>
    <row r="13" spans="1:170" ht="15" customHeight="1" thickBot="1" x14ac:dyDescent="0.25">
      <c r="A13" s="38">
        <v>27</v>
      </c>
      <c r="B13" s="73">
        <f t="shared" si="2"/>
        <v>1394.43</v>
      </c>
      <c r="C13" s="74">
        <f t="shared" si="0"/>
        <v>732.47142857142853</v>
      </c>
      <c r="D13" s="73">
        <f t="shared" si="1"/>
        <v>454.58418000000006</v>
      </c>
      <c r="F13" s="120"/>
      <c r="G13" s="138" t="s">
        <v>58</v>
      </c>
      <c r="H13" s="136" t="s">
        <v>59</v>
      </c>
      <c r="I13" s="145" t="s">
        <v>60</v>
      </c>
      <c r="J13" s="8"/>
      <c r="K13" s="8"/>
    </row>
    <row r="14" spans="1:170" ht="15" customHeight="1" x14ac:dyDescent="0.2">
      <c r="A14" s="38">
        <v>26</v>
      </c>
      <c r="B14" s="73">
        <f t="shared" si="2"/>
        <v>1342.7844444444445</v>
      </c>
      <c r="C14" s="74">
        <f t="shared" si="0"/>
        <v>705.34285714285716</v>
      </c>
      <c r="D14" s="73">
        <f t="shared" si="1"/>
        <v>437.7477288888889</v>
      </c>
      <c r="F14" s="245" t="s">
        <v>61</v>
      </c>
      <c r="G14" s="239">
        <f>IF(I8&gt;=G4,I8,G4)</f>
        <v>1050</v>
      </c>
      <c r="H14" s="260">
        <v>23.6</v>
      </c>
      <c r="I14" s="243">
        <f>G14*H14%</f>
        <v>247.8</v>
      </c>
      <c r="J14" s="8"/>
      <c r="K14" s="8"/>
    </row>
    <row r="15" spans="1:170" ht="15" customHeight="1" thickBot="1" x14ac:dyDescent="0.25">
      <c r="A15" s="38">
        <v>25</v>
      </c>
      <c r="B15" s="73">
        <f t="shared" si="2"/>
        <v>1291.1388888888887</v>
      </c>
      <c r="C15" s="74">
        <f t="shared" si="0"/>
        <v>678.21428571428578</v>
      </c>
      <c r="D15" s="73">
        <f t="shared" si="1"/>
        <v>420.91127777777774</v>
      </c>
      <c r="F15" s="246"/>
      <c r="G15" s="240"/>
      <c r="H15" s="261"/>
      <c r="I15" s="262"/>
      <c r="J15" s="8"/>
      <c r="K15" s="8"/>
    </row>
    <row r="16" spans="1:170" ht="15" customHeight="1" x14ac:dyDescent="0.2">
      <c r="A16" s="38">
        <v>24</v>
      </c>
      <c r="B16" s="73">
        <f t="shared" si="2"/>
        <v>1239.4933333333333</v>
      </c>
      <c r="C16" s="74">
        <f t="shared" si="0"/>
        <v>651.08571428571418</v>
      </c>
      <c r="D16" s="73">
        <f t="shared" si="1"/>
        <v>404.0748266666667</v>
      </c>
      <c r="F16" s="245" t="s">
        <v>62</v>
      </c>
      <c r="G16" s="239">
        <f>IF(I8&gt;=I4,I8,I4)</f>
        <v>1050</v>
      </c>
      <c r="H16" s="260">
        <v>9</v>
      </c>
      <c r="I16" s="243">
        <f>G16*H16%</f>
        <v>94.5</v>
      </c>
      <c r="J16" s="8"/>
      <c r="K16" s="8"/>
    </row>
    <row r="17" spans="1:11" ht="15" customHeight="1" thickBot="1" x14ac:dyDescent="0.25">
      <c r="A17" s="38">
        <v>23</v>
      </c>
      <c r="B17" s="73">
        <f t="shared" si="2"/>
        <v>1187.8477777777778</v>
      </c>
      <c r="C17" s="74">
        <f t="shared" si="0"/>
        <v>623.9571428571428</v>
      </c>
      <c r="D17" s="73">
        <f t="shared" si="1"/>
        <v>387.23837555555559</v>
      </c>
      <c r="F17" s="246"/>
      <c r="G17" s="240"/>
      <c r="H17" s="261"/>
      <c r="I17" s="262"/>
      <c r="J17" s="8"/>
      <c r="K17" s="8"/>
    </row>
    <row r="18" spans="1:11" ht="15" customHeight="1" thickBot="1" x14ac:dyDescent="0.25">
      <c r="A18" s="38">
        <v>22</v>
      </c>
      <c r="B18" s="73">
        <f t="shared" si="2"/>
        <v>1136.2022222222222</v>
      </c>
      <c r="C18" s="74">
        <f t="shared" si="0"/>
        <v>596.82857142857142</v>
      </c>
      <c r="D18" s="73">
        <f t="shared" si="1"/>
        <v>370.40192444444443</v>
      </c>
      <c r="F18" s="225" t="s">
        <v>66</v>
      </c>
      <c r="G18" s="226"/>
      <c r="H18" s="137">
        <f>(H14+H16)</f>
        <v>32.6</v>
      </c>
      <c r="I18" s="133">
        <f>SUM(I14:I17)</f>
        <v>342.3</v>
      </c>
      <c r="J18" s="8"/>
      <c r="K18" s="8"/>
    </row>
    <row r="19" spans="1:11" ht="15" customHeight="1" x14ac:dyDescent="0.2">
      <c r="A19" s="38">
        <v>21</v>
      </c>
      <c r="B19" s="73">
        <f t="shared" si="2"/>
        <v>1084.5566666666666</v>
      </c>
      <c r="C19" s="74">
        <f t="shared" si="0"/>
        <v>569.70000000000005</v>
      </c>
      <c r="D19" s="73">
        <f t="shared" si="1"/>
        <v>353.56547333333333</v>
      </c>
      <c r="F19" s="129"/>
      <c r="G19" s="130"/>
      <c r="H19" s="131"/>
      <c r="I19" s="132"/>
      <c r="J19" s="8"/>
      <c r="K19" s="8"/>
    </row>
    <row r="20" spans="1:11" ht="15" customHeight="1" x14ac:dyDescent="0.2">
      <c r="A20" s="38">
        <v>20</v>
      </c>
      <c r="B20" s="73">
        <f t="shared" si="2"/>
        <v>1032.911111111111</v>
      </c>
      <c r="C20" s="74">
        <f t="shared" si="0"/>
        <v>542.57142857142867</v>
      </c>
      <c r="D20" s="73">
        <f t="shared" si="1"/>
        <v>336.72902222222223</v>
      </c>
      <c r="F20" s="214" t="s">
        <v>81</v>
      </c>
      <c r="G20" s="214"/>
      <c r="H20" s="214"/>
      <c r="I20" s="214"/>
      <c r="J20" s="214"/>
      <c r="K20" s="150"/>
    </row>
    <row r="21" spans="1:11" ht="15" customHeight="1" x14ac:dyDescent="0.2">
      <c r="A21" s="38">
        <v>19</v>
      </c>
      <c r="B21" s="73">
        <f t="shared" si="2"/>
        <v>981.26555555555547</v>
      </c>
      <c r="C21" s="74">
        <f t="shared" si="0"/>
        <v>515.44285714285718</v>
      </c>
      <c r="D21" s="73">
        <f t="shared" si="1"/>
        <v>319.89257111111107</v>
      </c>
      <c r="F21" s="214"/>
      <c r="G21" s="214"/>
      <c r="H21" s="214"/>
      <c r="I21" s="214"/>
      <c r="J21" s="214"/>
      <c r="K21" s="150"/>
    </row>
    <row r="22" spans="1:11" ht="15" customHeight="1" thickBot="1" x14ac:dyDescent="0.25">
      <c r="A22" s="38">
        <v>18</v>
      </c>
      <c r="B22" s="73">
        <f t="shared" si="2"/>
        <v>929.62</v>
      </c>
      <c r="C22" s="74">
        <f t="shared" si="0"/>
        <v>488.3142857142858</v>
      </c>
      <c r="D22" s="73">
        <f t="shared" si="1"/>
        <v>303.05612000000002</v>
      </c>
      <c r="F22" s="35"/>
      <c r="G22" s="19"/>
      <c r="H22" s="8"/>
      <c r="I22" s="118"/>
      <c r="J22" s="8"/>
      <c r="K22" s="8"/>
    </row>
    <row r="23" spans="1:11" ht="15" customHeight="1" x14ac:dyDescent="0.2">
      <c r="A23" s="38">
        <v>17</v>
      </c>
      <c r="B23" s="73">
        <f t="shared" si="2"/>
        <v>877.97444444444443</v>
      </c>
      <c r="C23" s="74">
        <f t="shared" si="0"/>
        <v>461.18571428571425</v>
      </c>
      <c r="D23" s="73">
        <f t="shared" si="1"/>
        <v>286.21966888888892</v>
      </c>
      <c r="F23" s="229" t="s">
        <v>67</v>
      </c>
      <c r="G23" s="229"/>
      <c r="H23" s="230"/>
      <c r="I23" s="249">
        <v>0</v>
      </c>
      <c r="J23" s="8"/>
      <c r="K23" s="8"/>
    </row>
    <row r="24" spans="1:11" ht="15" customHeight="1" thickBot="1" x14ac:dyDescent="0.25">
      <c r="A24" s="38">
        <v>16</v>
      </c>
      <c r="B24" s="73">
        <f t="shared" si="2"/>
        <v>826.32888888888886</v>
      </c>
      <c r="C24" s="74">
        <f t="shared" si="0"/>
        <v>434.05714285714282</v>
      </c>
      <c r="D24" s="73">
        <f t="shared" si="1"/>
        <v>269.38321777777776</v>
      </c>
      <c r="F24" s="229"/>
      <c r="G24" s="229"/>
      <c r="H24" s="230"/>
      <c r="I24" s="250"/>
      <c r="J24" s="8"/>
      <c r="K24" s="8"/>
    </row>
    <row r="25" spans="1:11" ht="15" customHeight="1" thickBot="1" x14ac:dyDescent="0.25">
      <c r="A25" s="38">
        <v>15</v>
      </c>
      <c r="B25" s="73">
        <f t="shared" si="2"/>
        <v>774.68333333333328</v>
      </c>
      <c r="C25" s="74">
        <f t="shared" si="0"/>
        <v>406.92857142857139</v>
      </c>
      <c r="D25" s="73">
        <f t="shared" si="1"/>
        <v>252.54676666666666</v>
      </c>
      <c r="F25" s="35"/>
      <c r="G25" s="19"/>
      <c r="H25" s="8"/>
      <c r="I25" s="118"/>
      <c r="J25" s="8"/>
      <c r="K25" s="8"/>
    </row>
    <row r="26" spans="1:11" ht="15" customHeight="1" x14ac:dyDescent="0.2">
      <c r="A26" s="38">
        <v>14</v>
      </c>
      <c r="B26" s="73">
        <f t="shared" si="2"/>
        <v>723.03777777777771</v>
      </c>
      <c r="C26" s="74">
        <f t="shared" si="0"/>
        <v>379.80000000000007</v>
      </c>
      <c r="D26" s="73">
        <f t="shared" si="1"/>
        <v>235.71031555555555</v>
      </c>
      <c r="F26" s="229" t="s">
        <v>72</v>
      </c>
      <c r="G26" s="229"/>
      <c r="H26" s="230"/>
      <c r="I26" s="227">
        <v>0</v>
      </c>
      <c r="J26" s="8"/>
      <c r="K26" s="8"/>
    </row>
    <row r="27" spans="1:11" ht="15" customHeight="1" thickBot="1" x14ac:dyDescent="0.25">
      <c r="A27" s="38">
        <v>13</v>
      </c>
      <c r="B27" s="73">
        <f t="shared" si="2"/>
        <v>671.39222222222224</v>
      </c>
      <c r="C27" s="74">
        <f t="shared" si="0"/>
        <v>352.67142857142858</v>
      </c>
      <c r="D27" s="73">
        <f t="shared" si="1"/>
        <v>218.87386444444445</v>
      </c>
      <c r="F27" s="229"/>
      <c r="G27" s="229"/>
      <c r="H27" s="230"/>
      <c r="I27" s="228"/>
      <c r="J27" s="8"/>
      <c r="K27" s="8"/>
    </row>
    <row r="28" spans="1:11" ht="15" customHeight="1" thickBot="1" x14ac:dyDescent="0.25">
      <c r="A28" s="38">
        <v>12</v>
      </c>
      <c r="B28" s="73">
        <f t="shared" si="2"/>
        <v>619.74666666666667</v>
      </c>
      <c r="C28" s="74">
        <f t="shared" si="0"/>
        <v>325.54285714285709</v>
      </c>
      <c r="D28" s="73">
        <f t="shared" si="1"/>
        <v>202.03741333333335</v>
      </c>
      <c r="F28" s="35"/>
      <c r="G28" s="19"/>
      <c r="H28" s="8"/>
      <c r="I28" s="118"/>
      <c r="J28" s="8"/>
      <c r="K28" s="8"/>
    </row>
    <row r="29" spans="1:11" ht="15" customHeight="1" x14ac:dyDescent="0.2">
      <c r="A29" s="38">
        <v>11</v>
      </c>
      <c r="B29" s="73">
        <f t="shared" si="2"/>
        <v>568.10111111111109</v>
      </c>
      <c r="C29" s="74">
        <f t="shared" si="0"/>
        <v>298.41428571428571</v>
      </c>
      <c r="D29" s="73">
        <f t="shared" si="1"/>
        <v>185.20096222222222</v>
      </c>
      <c r="F29" s="231" t="s">
        <v>68</v>
      </c>
      <c r="G29" s="232"/>
      <c r="H29" s="232"/>
      <c r="I29" s="233"/>
      <c r="J29" s="8"/>
      <c r="K29" s="8"/>
    </row>
    <row r="30" spans="1:11" ht="15" customHeight="1" thickBot="1" x14ac:dyDescent="0.25">
      <c r="A30" s="38">
        <v>10</v>
      </c>
      <c r="B30" s="73">
        <f t="shared" si="2"/>
        <v>516.45555555555552</v>
      </c>
      <c r="C30" s="74">
        <f t="shared" si="0"/>
        <v>271.28571428571433</v>
      </c>
      <c r="D30" s="73">
        <f t="shared" si="1"/>
        <v>168.36451111111111</v>
      </c>
      <c r="F30" s="234"/>
      <c r="G30" s="235"/>
      <c r="H30" s="235"/>
      <c r="I30" s="236"/>
      <c r="J30" s="8"/>
      <c r="K30" s="8"/>
    </row>
    <row r="31" spans="1:11" ht="15" customHeight="1" thickBot="1" x14ac:dyDescent="0.25">
      <c r="A31" s="38">
        <v>9</v>
      </c>
      <c r="B31" s="73">
        <f t="shared" si="2"/>
        <v>464.81</v>
      </c>
      <c r="C31" s="74">
        <f t="shared" si="0"/>
        <v>244.1571428571429</v>
      </c>
      <c r="D31" s="73">
        <f t="shared" si="1"/>
        <v>151.52806000000001</v>
      </c>
      <c r="F31" s="140" t="s">
        <v>73</v>
      </c>
      <c r="G31" s="138" t="s">
        <v>58</v>
      </c>
      <c r="H31" s="136" t="s">
        <v>74</v>
      </c>
      <c r="I31" s="122" t="s">
        <v>60</v>
      </c>
      <c r="J31" s="8"/>
      <c r="K31" s="8"/>
    </row>
    <row r="32" spans="1:11" ht="15" customHeight="1" x14ac:dyDescent="0.2">
      <c r="A32" s="38">
        <v>8</v>
      </c>
      <c r="B32" s="73">
        <f t="shared" si="2"/>
        <v>413.16444444444443</v>
      </c>
      <c r="C32" s="74">
        <f t="shared" si="0"/>
        <v>217.02857142857141</v>
      </c>
      <c r="D32" s="73">
        <f t="shared" si="1"/>
        <v>134.69160888888888</v>
      </c>
      <c r="F32" s="295">
        <f>((I23/37.5*7.5*5)/7)*30*$C$43</f>
        <v>0</v>
      </c>
      <c r="G32" s="258">
        <f>IF(I26&lt;F32,F32,I26)</f>
        <v>0</v>
      </c>
      <c r="H32" s="260">
        <v>32.6</v>
      </c>
      <c r="I32" s="243">
        <f>G32*H32%</f>
        <v>0</v>
      </c>
      <c r="J32" s="8"/>
      <c r="K32" s="8"/>
    </row>
    <row r="33" spans="1:11" ht="15" customHeight="1" thickBot="1" x14ac:dyDescent="0.25">
      <c r="A33" s="38">
        <v>7</v>
      </c>
      <c r="B33" s="73">
        <f t="shared" si="2"/>
        <v>361.51888888888885</v>
      </c>
      <c r="C33" s="74">
        <f t="shared" si="0"/>
        <v>189.90000000000003</v>
      </c>
      <c r="D33" s="73">
        <f t="shared" si="1"/>
        <v>117.85515777777778</v>
      </c>
      <c r="F33" s="257"/>
      <c r="G33" s="259"/>
      <c r="H33" s="261"/>
      <c r="I33" s="262"/>
      <c r="J33" s="8"/>
      <c r="K33" s="8"/>
    </row>
    <row r="34" spans="1:11" ht="15" customHeight="1" thickBot="1" x14ac:dyDescent="0.25">
      <c r="A34" s="38">
        <v>6</v>
      </c>
      <c r="B34" s="73">
        <f t="shared" si="2"/>
        <v>309.87333333333333</v>
      </c>
      <c r="C34" s="74">
        <f t="shared" si="0"/>
        <v>162.77142857142854</v>
      </c>
      <c r="D34" s="73">
        <f t="shared" si="1"/>
        <v>101.01870666666667</v>
      </c>
      <c r="F34" s="251" t="s">
        <v>69</v>
      </c>
      <c r="G34" s="252"/>
      <c r="H34" s="253"/>
      <c r="I34" s="133">
        <f>SUM(I32)</f>
        <v>0</v>
      </c>
      <c r="J34" s="8"/>
      <c r="K34" s="8"/>
    </row>
    <row r="35" spans="1:11" ht="15" customHeight="1" x14ac:dyDescent="0.2">
      <c r="A35" s="38">
        <v>5</v>
      </c>
      <c r="B35" s="73">
        <f t="shared" si="2"/>
        <v>258.22777777777776</v>
      </c>
      <c r="C35" s="74">
        <f t="shared" si="0"/>
        <v>135.64285714285717</v>
      </c>
      <c r="D35" s="73">
        <f t="shared" si="1"/>
        <v>84.182255555555557</v>
      </c>
      <c r="F35" s="35"/>
      <c r="G35" s="19"/>
      <c r="H35" s="8"/>
      <c r="I35" s="118"/>
      <c r="J35" s="8"/>
      <c r="K35" s="139"/>
    </row>
    <row r="36" spans="1:11" ht="15" customHeight="1" x14ac:dyDescent="0.2">
      <c r="A36" s="38">
        <v>4</v>
      </c>
      <c r="B36" s="73">
        <f t="shared" si="2"/>
        <v>206.58222222222221</v>
      </c>
      <c r="C36" s="74">
        <f t="shared" si="0"/>
        <v>108.51428571428571</v>
      </c>
      <c r="D36" s="73">
        <f t="shared" si="1"/>
        <v>67.34580444444444</v>
      </c>
      <c r="F36" s="275" t="s">
        <v>71</v>
      </c>
      <c r="G36" s="275"/>
      <c r="H36" s="275"/>
      <c r="I36" s="255" t="s">
        <v>70</v>
      </c>
      <c r="K36" s="139"/>
    </row>
    <row r="37" spans="1:11" ht="15" customHeight="1" x14ac:dyDescent="0.2">
      <c r="A37" s="38">
        <v>3</v>
      </c>
      <c r="B37" s="73">
        <f t="shared" si="2"/>
        <v>154.93666666666667</v>
      </c>
      <c r="C37" s="74">
        <f t="shared" si="0"/>
        <v>81.385714285714272</v>
      </c>
      <c r="D37" s="73">
        <f t="shared" si="1"/>
        <v>50.509353333333337</v>
      </c>
      <c r="F37" s="275"/>
      <c r="G37" s="275"/>
      <c r="H37" s="275"/>
      <c r="I37" s="255"/>
      <c r="K37" s="139"/>
    </row>
    <row r="38" spans="1:11" ht="15" customHeight="1" x14ac:dyDescent="0.2">
      <c r="A38" s="38">
        <v>2</v>
      </c>
      <c r="B38" s="73">
        <f t="shared" si="2"/>
        <v>103.29111111111111</v>
      </c>
      <c r="C38" s="74">
        <f t="shared" si="0"/>
        <v>54.257142857142853</v>
      </c>
      <c r="D38" s="73">
        <f t="shared" si="1"/>
        <v>33.67290222222222</v>
      </c>
    </row>
    <row r="39" spans="1:11" ht="15" customHeight="1" x14ac:dyDescent="0.2">
      <c r="A39" s="39">
        <v>1</v>
      </c>
      <c r="B39" s="75">
        <f t="shared" si="2"/>
        <v>51.645555555555553</v>
      </c>
      <c r="C39" s="76">
        <f t="shared" si="0"/>
        <v>27.128571428571426</v>
      </c>
      <c r="D39" s="75">
        <f t="shared" si="1"/>
        <v>16.83645111111111</v>
      </c>
    </row>
    <row r="43" spans="1:11" ht="33.75" hidden="1" customHeight="1" thickBot="1" x14ac:dyDescent="0.25">
      <c r="B43" s="211" t="s">
        <v>17</v>
      </c>
      <c r="C43" s="212">
        <v>6.33</v>
      </c>
    </row>
  </sheetData>
  <sheetProtection algorithmName="SHA-512" hashValue="3VMiicqj1COZUHDB8jvfIcvnigeX8I4zCQPME/rrqrabimhhKE6p0uAAUJ0DOOe3OvE8BhjlJ7FJW/WH1m/7CA==" saltValue="lOS5eXtz3cX8lUhtbbLcpQ==" spinCount="100000" sheet="1" objects="1" scenarios="1"/>
  <protectedRanges>
    <protectedRange sqref="I36" name="CALCULO RC"/>
    <protectedRange sqref="I8" name="RET TP_1"/>
    <protectedRange sqref="I23" name="DED_1"/>
    <protectedRange sqref="I26" name="RET TP_2"/>
  </protectedRanges>
  <mergeCells count="33">
    <mergeCell ref="A1:D1"/>
    <mergeCell ref="F2:H2"/>
    <mergeCell ref="I2:J2"/>
    <mergeCell ref="F4:F5"/>
    <mergeCell ref="G4:G5"/>
    <mergeCell ref="H4:H5"/>
    <mergeCell ref="I4:I5"/>
    <mergeCell ref="J4:J5"/>
    <mergeCell ref="I16:I17"/>
    <mergeCell ref="F18:G18"/>
    <mergeCell ref="F8:H9"/>
    <mergeCell ref="I8:I9"/>
    <mergeCell ref="F11:I12"/>
    <mergeCell ref="F14:F15"/>
    <mergeCell ref="G14:G15"/>
    <mergeCell ref="H14:H15"/>
    <mergeCell ref="I14:I15"/>
    <mergeCell ref="I36:I37"/>
    <mergeCell ref="H16:H17"/>
    <mergeCell ref="F36:H37"/>
    <mergeCell ref="F20:J21"/>
    <mergeCell ref="F32:F33"/>
    <mergeCell ref="G32:G33"/>
    <mergeCell ref="H32:H33"/>
    <mergeCell ref="I32:I33"/>
    <mergeCell ref="F34:H34"/>
    <mergeCell ref="F23:H24"/>
    <mergeCell ref="I23:I24"/>
    <mergeCell ref="F26:H27"/>
    <mergeCell ref="I26:I27"/>
    <mergeCell ref="F29:I30"/>
    <mergeCell ref="F16:F17"/>
    <mergeCell ref="G16:G17"/>
  </mergeCells>
  <phoneticPr fontId="0" type="noConversion"/>
  <hyperlinks>
    <hyperlink ref="I36:I37" r:id="rId1" display="CALCULO RC"/>
  </hyperlinks>
  <printOptions horizontalCentered="1"/>
  <pageMargins left="1.71875" right="0.94488188976377963" top="0" bottom="0.39370078740157483" header="0" footer="0"/>
  <pageSetup paperSize="9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66"/>
  <sheetViews>
    <sheetView workbookViewId="0">
      <selection activeCell="F28" sqref="F28"/>
    </sheetView>
  </sheetViews>
  <sheetFormatPr baseColWidth="10" defaultRowHeight="12.75" x14ac:dyDescent="0.2"/>
  <cols>
    <col min="1" max="1" width="35.5703125" style="8" customWidth="1"/>
    <col min="2" max="3" width="18.140625" style="99" customWidth="1"/>
    <col min="4" max="4" width="23.5703125" style="8" bestFit="1" customWidth="1"/>
    <col min="5" max="5" width="32" style="8" bestFit="1" customWidth="1"/>
    <col min="6" max="6" width="11.42578125" style="8"/>
    <col min="7" max="7" width="32" style="8" bestFit="1" customWidth="1"/>
    <col min="8" max="8" width="14.42578125" style="94" bestFit="1" customWidth="1"/>
    <col min="9" max="9" width="11.42578125" style="8"/>
    <col min="10" max="11" width="20.85546875" style="8" bestFit="1" customWidth="1"/>
    <col min="12" max="16384" width="11.42578125" style="8"/>
  </cols>
  <sheetData>
    <row r="1" spans="1:8" s="21" customFormat="1" ht="26.25" thickBot="1" x14ac:dyDescent="0.25">
      <c r="A1" s="26" t="s">
        <v>0</v>
      </c>
      <c r="B1" s="87" t="s">
        <v>12</v>
      </c>
      <c r="C1" s="87" t="s">
        <v>10</v>
      </c>
      <c r="H1" s="89"/>
    </row>
    <row r="2" spans="1:8" ht="16.5" customHeight="1" x14ac:dyDescent="0.2">
      <c r="A2" s="11" t="s">
        <v>33</v>
      </c>
      <c r="B2" s="96">
        <f>B16</f>
        <v>2586.5420104402083</v>
      </c>
      <c r="C2" s="96">
        <f>C16</f>
        <v>3362.504613572271</v>
      </c>
      <c r="D2" s="9"/>
      <c r="E2" s="9"/>
      <c r="G2" s="10"/>
      <c r="H2" s="90"/>
    </row>
    <row r="3" spans="1:8" ht="16.5" customHeight="1" x14ac:dyDescent="0.2">
      <c r="A3" s="11" t="s">
        <v>32</v>
      </c>
      <c r="B3" s="96">
        <f>B23</f>
        <v>2124.6595085758854</v>
      </c>
      <c r="C3" s="96">
        <f>C23</f>
        <v>2762.0573611486511</v>
      </c>
      <c r="D3" s="9"/>
      <c r="E3" s="9"/>
      <c r="G3" s="10"/>
      <c r="H3" s="90"/>
    </row>
    <row r="4" spans="1:8" ht="16.5" customHeight="1" x14ac:dyDescent="0.2">
      <c r="A4" s="11" t="s">
        <v>31</v>
      </c>
      <c r="B4" s="96">
        <f>B30</f>
        <v>0</v>
      </c>
      <c r="C4" s="96">
        <f>C30</f>
        <v>0</v>
      </c>
      <c r="D4" s="16"/>
      <c r="E4" s="16"/>
      <c r="F4" s="34"/>
    </row>
    <row r="5" spans="1:8" ht="16.5" customHeight="1" x14ac:dyDescent="0.2">
      <c r="A5" s="11" t="s">
        <v>39</v>
      </c>
      <c r="B5" s="96">
        <f>B37</f>
        <v>1570.4005063386976</v>
      </c>
      <c r="C5" s="96">
        <f>C37</f>
        <v>2041.5206582403071</v>
      </c>
      <c r="D5" s="34"/>
      <c r="E5" s="34"/>
      <c r="F5" s="135"/>
    </row>
    <row r="6" spans="1:8" ht="16.5" customHeight="1" x14ac:dyDescent="0.2">
      <c r="A6" s="11" t="s">
        <v>40</v>
      </c>
      <c r="B6" s="96">
        <f>B44</f>
        <v>1478.0240059658331</v>
      </c>
      <c r="C6" s="96">
        <f>C44</f>
        <v>1921.4312077555833</v>
      </c>
      <c r="E6" s="34"/>
      <c r="F6" s="135"/>
    </row>
    <row r="7" spans="1:8" ht="18" customHeight="1" x14ac:dyDescent="0.2">
      <c r="A7" s="11" t="s">
        <v>41</v>
      </c>
      <c r="B7" s="96">
        <f>B51</f>
        <v>1385.6475055929689</v>
      </c>
      <c r="C7" s="96">
        <f>C51</f>
        <v>1801.3417572708593</v>
      </c>
      <c r="E7" s="34"/>
      <c r="F7" s="135"/>
    </row>
    <row r="8" spans="1:8" ht="18.75" customHeight="1" x14ac:dyDescent="0.2">
      <c r="A8" s="11" t="s">
        <v>38</v>
      </c>
      <c r="B8" s="96">
        <f>F33</f>
        <v>2255.0699999999997</v>
      </c>
      <c r="C8" s="96"/>
      <c r="E8" s="34"/>
      <c r="F8" s="135"/>
    </row>
    <row r="9" spans="1:8" ht="19.5" customHeight="1" thickBot="1" x14ac:dyDescent="0.25">
      <c r="A9" s="22" t="s">
        <v>35</v>
      </c>
      <c r="B9" s="97">
        <f>F21</f>
        <v>1936.7083333333333</v>
      </c>
      <c r="C9" s="97"/>
      <c r="E9" s="34"/>
      <c r="F9" s="34"/>
    </row>
    <row r="10" spans="1:8" x14ac:dyDescent="0.2">
      <c r="A10" s="23"/>
      <c r="B10" s="98"/>
      <c r="C10" s="98"/>
      <c r="E10" s="34"/>
      <c r="F10" s="34"/>
    </row>
    <row r="11" spans="1:8" x14ac:dyDescent="0.2">
      <c r="E11" s="16"/>
      <c r="F11" s="16"/>
    </row>
    <row r="12" spans="1:8" ht="13.5" thickBot="1" x14ac:dyDescent="0.25">
      <c r="A12" s="14"/>
      <c r="D12" s="14"/>
      <c r="E12" s="17"/>
      <c r="F12" s="17"/>
    </row>
    <row r="13" spans="1:8" ht="26.25" thickBot="1" x14ac:dyDescent="0.25">
      <c r="A13" s="146" t="s">
        <v>33</v>
      </c>
      <c r="B13" s="147" t="s">
        <v>9</v>
      </c>
      <c r="C13" s="148" t="s">
        <v>11</v>
      </c>
      <c r="D13" s="14"/>
      <c r="E13" s="304" t="s">
        <v>29</v>
      </c>
      <c r="F13" s="305"/>
    </row>
    <row r="14" spans="1:8" ht="16.5" customHeight="1" thickTop="1" x14ac:dyDescent="0.2">
      <c r="A14" s="24" t="s">
        <v>13</v>
      </c>
      <c r="B14" s="100">
        <f>(D58)/12</f>
        <v>2503.10517139375</v>
      </c>
      <c r="C14" s="101">
        <f>(E58)/12</f>
        <v>3254.0367228118753</v>
      </c>
      <c r="D14" s="14"/>
      <c r="E14" s="32" t="s">
        <v>1</v>
      </c>
      <c r="F14" s="91">
        <v>656.18</v>
      </c>
    </row>
    <row r="15" spans="1:8" ht="16.5" customHeight="1" x14ac:dyDescent="0.2">
      <c r="A15" s="24" t="s">
        <v>3</v>
      </c>
      <c r="B15" s="100">
        <f>B14/30*12/12</f>
        <v>83.436839046458331</v>
      </c>
      <c r="C15" s="101">
        <f>C14/30*12/12</f>
        <v>108.46789076039585</v>
      </c>
      <c r="D15" s="14"/>
      <c r="E15" s="32" t="s">
        <v>6</v>
      </c>
      <c r="F15" s="91">
        <v>334.02</v>
      </c>
    </row>
    <row r="16" spans="1:8" ht="16.5" customHeight="1" x14ac:dyDescent="0.2">
      <c r="A16" s="25" t="s">
        <v>30</v>
      </c>
      <c r="B16" s="102">
        <f>SUM(B14:B15)</f>
        <v>2586.5420104402083</v>
      </c>
      <c r="C16" s="103">
        <f>SUM(C14:C15)</f>
        <v>3362.504613572271</v>
      </c>
      <c r="D16" s="14"/>
      <c r="E16" s="32" t="s">
        <v>7</v>
      </c>
      <c r="F16" s="91">
        <v>615.1</v>
      </c>
    </row>
    <row r="17" spans="1:8" ht="16.5" customHeight="1" x14ac:dyDescent="0.2">
      <c r="A17" s="14"/>
      <c r="D17" s="14"/>
      <c r="E17" s="32" t="s">
        <v>3</v>
      </c>
      <c r="F17" s="91">
        <f>SUM(F14:F16)/30*12/12</f>
        <v>53.51</v>
      </c>
      <c r="G17" s="8" t="s">
        <v>18</v>
      </c>
    </row>
    <row r="18" spans="1:8" x14ac:dyDescent="0.2">
      <c r="A18" s="14"/>
      <c r="D18" s="14"/>
      <c r="E18" s="32" t="s">
        <v>42</v>
      </c>
      <c r="F18" s="91">
        <v>68.069999999999993</v>
      </c>
    </row>
    <row r="19" spans="1:8" x14ac:dyDescent="0.2">
      <c r="A19" s="14"/>
      <c r="D19" s="14"/>
      <c r="E19" s="32"/>
      <c r="F19" s="92"/>
    </row>
    <row r="20" spans="1:8" ht="26.25" thickBot="1" x14ac:dyDescent="0.25">
      <c r="A20" s="146" t="s">
        <v>32</v>
      </c>
      <c r="B20" s="147" t="s">
        <v>9</v>
      </c>
      <c r="C20" s="148" t="s">
        <v>11</v>
      </c>
      <c r="D20" s="14"/>
      <c r="E20" s="32" t="s">
        <v>2</v>
      </c>
      <c r="F20" s="91">
        <f>(650.2+F15+F16)/6</f>
        <v>266.55333333333334</v>
      </c>
    </row>
    <row r="21" spans="1:8" ht="16.5" customHeight="1" thickTop="1" thickBot="1" x14ac:dyDescent="0.25">
      <c r="A21" s="24" t="s">
        <v>13</v>
      </c>
      <c r="B21" s="100">
        <f>(D59)/12</f>
        <v>2056.1221050734375</v>
      </c>
      <c r="C21" s="101">
        <f>(E59)/12</f>
        <v>2672.958736595469</v>
      </c>
      <c r="D21" s="14"/>
      <c r="E21" s="15" t="s">
        <v>36</v>
      </c>
      <c r="F21" s="93">
        <f>SUM(F14:F17)+(F18/6)+F20</f>
        <v>1936.7083333333333</v>
      </c>
      <c r="G21" s="17"/>
      <c r="H21" s="95"/>
    </row>
    <row r="22" spans="1:8" ht="16.5" customHeight="1" x14ac:dyDescent="0.2">
      <c r="A22" s="24" t="s">
        <v>3</v>
      </c>
      <c r="B22" s="100">
        <f>B21/30*12/12</f>
        <v>68.537403502447916</v>
      </c>
      <c r="C22" s="101">
        <f>C21/30*12/12</f>
        <v>89.098624553182319</v>
      </c>
      <c r="D22" s="14"/>
      <c r="F22" s="94"/>
    </row>
    <row r="23" spans="1:8" ht="16.5" customHeight="1" x14ac:dyDescent="0.2">
      <c r="A23" s="25" t="s">
        <v>30</v>
      </c>
      <c r="B23" s="102">
        <f>SUM(B21:B22)</f>
        <v>2124.6595085758854</v>
      </c>
      <c r="C23" s="103">
        <f>SUM(C21:C22)</f>
        <v>2762.0573611486511</v>
      </c>
      <c r="D23" s="14"/>
      <c r="F23" s="94"/>
    </row>
    <row r="24" spans="1:8" ht="13.5" thickBot="1" x14ac:dyDescent="0.25">
      <c r="A24" s="14"/>
      <c r="D24" s="14"/>
      <c r="F24" s="94"/>
    </row>
    <row r="25" spans="1:8" ht="19.5" customHeight="1" thickBot="1" x14ac:dyDescent="0.25">
      <c r="A25" s="14"/>
      <c r="D25" s="14"/>
      <c r="E25" s="304" t="s">
        <v>28</v>
      </c>
      <c r="F25" s="305"/>
    </row>
    <row r="26" spans="1:8" x14ac:dyDescent="0.2">
      <c r="B26" s="104"/>
      <c r="C26" s="104"/>
      <c r="D26" s="18"/>
      <c r="E26" s="32" t="s">
        <v>1</v>
      </c>
      <c r="F26" s="91">
        <v>788.42</v>
      </c>
    </row>
    <row r="27" spans="1:8" ht="29.25" thickBot="1" x14ac:dyDescent="0.25">
      <c r="A27" s="149" t="s">
        <v>31</v>
      </c>
      <c r="B27" s="147" t="s">
        <v>9</v>
      </c>
      <c r="C27" s="148" t="s">
        <v>11</v>
      </c>
      <c r="D27" s="13"/>
      <c r="E27" s="32" t="s">
        <v>4</v>
      </c>
      <c r="F27" s="91">
        <v>432.32</v>
      </c>
    </row>
    <row r="28" spans="1:8" ht="16.5" customHeight="1" thickTop="1" x14ac:dyDescent="0.2">
      <c r="A28" s="24" t="s">
        <v>13</v>
      </c>
      <c r="B28" s="100">
        <f>(D60)/12</f>
        <v>0</v>
      </c>
      <c r="C28" s="101">
        <f>(E60)/12</f>
        <v>0</v>
      </c>
      <c r="D28" s="13"/>
      <c r="E28" s="32" t="s">
        <v>5</v>
      </c>
      <c r="F28" s="91">
        <v>661.11</v>
      </c>
    </row>
    <row r="29" spans="1:8" ht="16.5" customHeight="1" x14ac:dyDescent="0.2">
      <c r="A29" s="24" t="s">
        <v>3</v>
      </c>
      <c r="B29" s="100">
        <v>0</v>
      </c>
      <c r="C29" s="101">
        <v>0</v>
      </c>
      <c r="D29" s="13"/>
      <c r="E29" s="32" t="s">
        <v>3</v>
      </c>
      <c r="F29" s="91">
        <f>SUM(F26:F28)/30*12/12</f>
        <v>62.728333333333332</v>
      </c>
      <c r="G29" s="8" t="s">
        <v>18</v>
      </c>
    </row>
    <row r="30" spans="1:8" ht="16.5" customHeight="1" x14ac:dyDescent="0.2">
      <c r="A30" s="25" t="s">
        <v>30</v>
      </c>
      <c r="B30" s="102">
        <f>SUM(B28:B29)</f>
        <v>0</v>
      </c>
      <c r="C30" s="103">
        <f>SUM(C28:C29)</f>
        <v>0</v>
      </c>
      <c r="D30" s="13"/>
      <c r="E30" s="32" t="s">
        <v>42</v>
      </c>
      <c r="F30" s="91">
        <v>88.09</v>
      </c>
    </row>
    <row r="31" spans="1:8" x14ac:dyDescent="0.2">
      <c r="A31" s="17"/>
      <c r="B31" s="105"/>
      <c r="C31" s="105"/>
      <c r="D31" s="13"/>
      <c r="E31" s="32"/>
      <c r="F31" s="92"/>
    </row>
    <row r="32" spans="1:8" x14ac:dyDescent="0.2">
      <c r="A32" s="17"/>
      <c r="B32" s="105"/>
      <c r="C32" s="105"/>
      <c r="D32" s="13"/>
      <c r="E32" s="32" t="s">
        <v>2</v>
      </c>
      <c r="F32" s="91">
        <f>(681.43+F27+F28)/6</f>
        <v>295.81</v>
      </c>
    </row>
    <row r="33" spans="1:6" ht="13.5" thickBot="1" x14ac:dyDescent="0.25">
      <c r="E33" s="15" t="s">
        <v>37</v>
      </c>
      <c r="F33" s="93">
        <f>SUM(F26:F29)+(F30/6)+F32</f>
        <v>2255.0699999999997</v>
      </c>
    </row>
    <row r="34" spans="1:6" ht="26.25" thickBot="1" x14ac:dyDescent="0.25">
      <c r="A34" s="146" t="s">
        <v>39</v>
      </c>
      <c r="B34" s="147" t="s">
        <v>9</v>
      </c>
      <c r="C34" s="148" t="s">
        <v>11</v>
      </c>
      <c r="D34" s="13"/>
    </row>
    <row r="35" spans="1:6" ht="16.5" customHeight="1" thickTop="1" x14ac:dyDescent="0.2">
      <c r="A35" s="24" t="s">
        <v>13</v>
      </c>
      <c r="B35" s="100">
        <f>(D62)/12</f>
        <v>1519.7424254890623</v>
      </c>
      <c r="C35" s="101">
        <f>(E62)/12</f>
        <v>1975.6651531357811</v>
      </c>
      <c r="D35" s="13"/>
    </row>
    <row r="36" spans="1:6" ht="16.5" customHeight="1" x14ac:dyDescent="0.2">
      <c r="A36" s="24" t="s">
        <v>3</v>
      </c>
      <c r="B36" s="100">
        <f>B35/30*12/12</f>
        <v>50.658080849635411</v>
      </c>
      <c r="C36" s="101">
        <f>C35/30*12/12</f>
        <v>65.855505104526031</v>
      </c>
      <c r="D36" s="13"/>
    </row>
    <row r="37" spans="1:6" ht="16.5" customHeight="1" x14ac:dyDescent="0.2">
      <c r="A37" s="25" t="s">
        <v>30</v>
      </c>
      <c r="B37" s="102">
        <f>SUM(B35:B36)</f>
        <v>1570.4005063386976</v>
      </c>
      <c r="C37" s="103">
        <f>SUM(C35:C36)</f>
        <v>2041.5206582403071</v>
      </c>
      <c r="D37" s="13"/>
    </row>
    <row r="38" spans="1:6" x14ac:dyDescent="0.2">
      <c r="A38" s="17"/>
      <c r="B38" s="105"/>
      <c r="C38" s="105"/>
      <c r="D38" s="13"/>
    </row>
    <row r="39" spans="1:6" x14ac:dyDescent="0.2">
      <c r="A39" s="17"/>
      <c r="B39" s="105"/>
      <c r="C39" s="105"/>
      <c r="D39" s="13"/>
    </row>
    <row r="40" spans="1:6" x14ac:dyDescent="0.2">
      <c r="B40" s="104"/>
      <c r="C40" s="104"/>
      <c r="D40" s="13"/>
    </row>
    <row r="41" spans="1:6" ht="26.25" thickBot="1" x14ac:dyDescent="0.25">
      <c r="A41" s="146" t="s">
        <v>40</v>
      </c>
      <c r="B41" s="147" t="s">
        <v>9</v>
      </c>
      <c r="C41" s="148" t="s">
        <v>11</v>
      </c>
      <c r="D41" s="13"/>
    </row>
    <row r="42" spans="1:6" ht="16.5" customHeight="1" thickTop="1" x14ac:dyDescent="0.2">
      <c r="A42" s="24" t="s">
        <v>13</v>
      </c>
      <c r="B42" s="100">
        <f>(D63)/12</f>
        <v>1430.3458122249997</v>
      </c>
      <c r="C42" s="101">
        <f>(E63)/12</f>
        <v>1859.4495558925</v>
      </c>
      <c r="D42" s="13"/>
    </row>
    <row r="43" spans="1:6" ht="16.5" customHeight="1" x14ac:dyDescent="0.2">
      <c r="A43" s="24" t="s">
        <v>8</v>
      </c>
      <c r="B43" s="100">
        <f>B42/30*12/12</f>
        <v>47.678193740833329</v>
      </c>
      <c r="C43" s="101">
        <f>C42/30*12/12</f>
        <v>61.981651863083336</v>
      </c>
      <c r="D43" s="13"/>
    </row>
    <row r="44" spans="1:6" ht="16.5" customHeight="1" x14ac:dyDescent="0.2">
      <c r="A44" s="25" t="s">
        <v>30</v>
      </c>
      <c r="B44" s="102">
        <f>SUM(B42:B43)</f>
        <v>1478.0240059658331</v>
      </c>
      <c r="C44" s="103">
        <f>SUM(C42:C43)</f>
        <v>1921.4312077555833</v>
      </c>
      <c r="D44" s="13"/>
    </row>
    <row r="45" spans="1:6" x14ac:dyDescent="0.2">
      <c r="A45" s="17"/>
      <c r="B45" s="105"/>
      <c r="C45" s="105"/>
      <c r="D45" s="13"/>
    </row>
    <row r="46" spans="1:6" x14ac:dyDescent="0.2">
      <c r="A46" s="17"/>
      <c r="B46" s="105"/>
      <c r="C46" s="105"/>
      <c r="D46" s="13"/>
    </row>
    <row r="47" spans="1:6" x14ac:dyDescent="0.2">
      <c r="A47" s="12"/>
      <c r="B47" s="88"/>
      <c r="C47" s="88"/>
      <c r="D47" s="13"/>
    </row>
    <row r="48" spans="1:6" ht="26.25" thickBot="1" x14ac:dyDescent="0.25">
      <c r="A48" s="146" t="s">
        <v>41</v>
      </c>
      <c r="B48" s="147" t="s">
        <v>9</v>
      </c>
      <c r="C48" s="148" t="s">
        <v>11</v>
      </c>
      <c r="D48" s="13"/>
    </row>
    <row r="49" spans="1:11" ht="16.5" customHeight="1" thickTop="1" x14ac:dyDescent="0.2">
      <c r="A49" s="24" t="s">
        <v>13</v>
      </c>
      <c r="B49" s="100">
        <f>(D64)/12</f>
        <v>1340.9491989609376</v>
      </c>
      <c r="C49" s="101">
        <f>(E64)/12</f>
        <v>1743.2339586492187</v>
      </c>
    </row>
    <row r="50" spans="1:11" ht="16.5" customHeight="1" x14ac:dyDescent="0.2">
      <c r="A50" s="24" t="s">
        <v>3</v>
      </c>
      <c r="B50" s="100">
        <f>B49/30*12/12</f>
        <v>44.698306632031255</v>
      </c>
      <c r="C50" s="101">
        <f>C49/30*12/12</f>
        <v>58.107798621640626</v>
      </c>
      <c r="D50" s="19"/>
    </row>
    <row r="51" spans="1:11" ht="16.5" customHeight="1" x14ac:dyDescent="0.2">
      <c r="A51" s="25" t="s">
        <v>30</v>
      </c>
      <c r="B51" s="102">
        <f>SUM(B49:B50)</f>
        <v>1385.6475055929689</v>
      </c>
      <c r="C51" s="103">
        <f>SUM(C49:C50)</f>
        <v>1801.3417572708593</v>
      </c>
      <c r="D51" s="20"/>
    </row>
    <row r="52" spans="1:11" x14ac:dyDescent="0.2">
      <c r="D52" s="18"/>
    </row>
    <row r="54" spans="1:11" ht="13.5" thickBot="1" x14ac:dyDescent="0.25"/>
    <row r="55" spans="1:11" ht="12.75" customHeight="1" x14ac:dyDescent="0.2">
      <c r="A55" s="306" t="s">
        <v>102</v>
      </c>
      <c r="B55" s="306"/>
      <c r="C55" s="308"/>
      <c r="D55" s="28" t="s">
        <v>19</v>
      </c>
      <c r="E55" s="28" t="s">
        <v>19</v>
      </c>
      <c r="G55" s="306" t="s">
        <v>51</v>
      </c>
      <c r="H55" s="306"/>
      <c r="I55" s="319"/>
      <c r="J55" s="110" t="s">
        <v>19</v>
      </c>
      <c r="K55" s="110" t="s">
        <v>19</v>
      </c>
    </row>
    <row r="56" spans="1:11" ht="13.5" thickBot="1" x14ac:dyDescent="0.25">
      <c r="A56" s="307"/>
      <c r="B56" s="307"/>
      <c r="C56" s="309"/>
      <c r="D56" s="29" t="s">
        <v>20</v>
      </c>
      <c r="E56" s="29" t="s">
        <v>21</v>
      </c>
      <c r="G56" s="307"/>
      <c r="H56" s="307"/>
      <c r="I56" s="320"/>
      <c r="J56" s="111" t="s">
        <v>20</v>
      </c>
      <c r="K56" s="111" t="s">
        <v>21</v>
      </c>
    </row>
    <row r="57" spans="1:11" ht="15" thickBot="1" x14ac:dyDescent="0.25">
      <c r="A57" s="310" t="s">
        <v>22</v>
      </c>
      <c r="B57" s="311"/>
      <c r="C57" s="311"/>
      <c r="D57" s="311"/>
      <c r="E57" s="312"/>
      <c r="G57" s="321" t="s">
        <v>22</v>
      </c>
      <c r="H57" s="322"/>
      <c r="I57" s="322"/>
      <c r="J57" s="322"/>
      <c r="K57" s="323"/>
    </row>
    <row r="58" spans="1:11" ht="18" customHeight="1" x14ac:dyDescent="0.2">
      <c r="A58" s="303"/>
      <c r="B58" s="301" t="s">
        <v>43</v>
      </c>
      <c r="C58" s="302"/>
      <c r="D58" s="107">
        <f>2.09%*J58+J58</f>
        <v>30037.262056725001</v>
      </c>
      <c r="E58" s="107">
        <f>2.09%*K58+K58</f>
        <v>39048.440673742502</v>
      </c>
      <c r="G58" s="324"/>
      <c r="H58" s="325" t="s">
        <v>43</v>
      </c>
      <c r="I58" s="326"/>
      <c r="J58" s="112">
        <v>29422.33525</v>
      </c>
      <c r="K58" s="112">
        <v>38249.035824999999</v>
      </c>
    </row>
    <row r="59" spans="1:11" ht="18" customHeight="1" x14ac:dyDescent="0.2">
      <c r="A59" s="303"/>
      <c r="B59" s="301" t="s">
        <v>44</v>
      </c>
      <c r="C59" s="302"/>
      <c r="D59" s="107">
        <f>2.09%*J59+J59</f>
        <v>24673.46526088125</v>
      </c>
      <c r="E59" s="107">
        <f>2.09%*K59+K59</f>
        <v>32075.504839145626</v>
      </c>
      <c r="G59" s="324"/>
      <c r="H59" s="325" t="s">
        <v>44</v>
      </c>
      <c r="I59" s="326"/>
      <c r="J59" s="112">
        <v>24168.3468125</v>
      </c>
      <c r="K59" s="112">
        <v>31418.850856249999</v>
      </c>
    </row>
    <row r="60" spans="1:11" ht="18" customHeight="1" thickBot="1" x14ac:dyDescent="0.25">
      <c r="A60" s="303"/>
      <c r="B60" s="301" t="s">
        <v>23</v>
      </c>
      <c r="C60" s="302"/>
      <c r="D60" s="141"/>
      <c r="E60" s="107"/>
      <c r="G60" s="324"/>
      <c r="H60" s="325" t="s">
        <v>23</v>
      </c>
      <c r="I60" s="326"/>
      <c r="J60" s="112">
        <v>16422</v>
      </c>
      <c r="K60" s="112">
        <v>24947</v>
      </c>
    </row>
    <row r="61" spans="1:11" ht="15" thickBot="1" x14ac:dyDescent="0.25">
      <c r="A61" s="310" t="s">
        <v>24</v>
      </c>
      <c r="B61" s="311"/>
      <c r="C61" s="311"/>
      <c r="D61" s="313"/>
      <c r="E61" s="312"/>
      <c r="G61" s="321" t="s">
        <v>24</v>
      </c>
      <c r="H61" s="322"/>
      <c r="I61" s="322"/>
      <c r="J61" s="322"/>
      <c r="K61" s="323"/>
    </row>
    <row r="62" spans="1:11" ht="18" customHeight="1" x14ac:dyDescent="0.2">
      <c r="A62" s="303"/>
      <c r="B62" s="315" t="s">
        <v>25</v>
      </c>
      <c r="C62" s="315"/>
      <c r="D62" s="108">
        <f t="shared" ref="D62:E64" si="0">2.09%*J62+J62</f>
        <v>18236.909105868748</v>
      </c>
      <c r="E62" s="108">
        <f t="shared" si="0"/>
        <v>23707.981837629373</v>
      </c>
      <c r="G62" s="324"/>
      <c r="H62" s="328" t="s">
        <v>25</v>
      </c>
      <c r="I62" s="328"/>
      <c r="J62" s="113">
        <v>17863.560687499998</v>
      </c>
      <c r="K62" s="113">
        <v>23222.628893749999</v>
      </c>
    </row>
    <row r="63" spans="1:11" ht="18" customHeight="1" x14ac:dyDescent="0.2">
      <c r="A63" s="303"/>
      <c r="B63" s="316" t="s">
        <v>26</v>
      </c>
      <c r="C63" s="316"/>
      <c r="D63" s="109">
        <f t="shared" si="0"/>
        <v>17164.149746699997</v>
      </c>
      <c r="E63" s="109">
        <f t="shared" si="0"/>
        <v>22313.39467071</v>
      </c>
      <c r="G63" s="324"/>
      <c r="H63" s="329" t="s">
        <v>26</v>
      </c>
      <c r="I63" s="329"/>
      <c r="J63" s="114">
        <v>16812.762999999999</v>
      </c>
      <c r="K63" s="114">
        <v>21856.591899999999</v>
      </c>
    </row>
    <row r="64" spans="1:11" ht="18" customHeight="1" x14ac:dyDescent="0.2">
      <c r="A64" s="303"/>
      <c r="B64" s="317" t="s">
        <v>27</v>
      </c>
      <c r="C64" s="317"/>
      <c r="D64" s="109">
        <f t="shared" si="0"/>
        <v>16091.39038753125</v>
      </c>
      <c r="E64" s="109">
        <f t="shared" si="0"/>
        <v>20918.807503790624</v>
      </c>
      <c r="G64" s="324"/>
      <c r="H64" s="330" t="s">
        <v>27</v>
      </c>
      <c r="I64" s="330"/>
      <c r="J64" s="115">
        <v>15761.9653125</v>
      </c>
      <c r="K64" s="115">
        <v>20490.554906249999</v>
      </c>
    </row>
    <row r="65" spans="1:11" ht="18" customHeight="1" x14ac:dyDescent="0.2">
      <c r="A65" s="303"/>
      <c r="B65" s="317" t="s">
        <v>28</v>
      </c>
      <c r="C65" s="317"/>
      <c r="D65" s="30"/>
      <c r="E65" s="30"/>
      <c r="G65" s="324"/>
      <c r="H65" s="330" t="s">
        <v>28</v>
      </c>
      <c r="I65" s="330"/>
      <c r="J65" s="116"/>
      <c r="K65" s="116"/>
    </row>
    <row r="66" spans="1:11" ht="18" customHeight="1" thickBot="1" x14ac:dyDescent="0.25">
      <c r="A66" s="314"/>
      <c r="B66" s="318" t="s">
        <v>29</v>
      </c>
      <c r="C66" s="318"/>
      <c r="D66" s="31"/>
      <c r="E66" s="31"/>
      <c r="G66" s="327"/>
      <c r="H66" s="331" t="s">
        <v>29</v>
      </c>
      <c r="I66" s="331"/>
      <c r="J66" s="117"/>
      <c r="K66" s="117"/>
    </row>
  </sheetData>
  <mergeCells count="30">
    <mergeCell ref="G61:K61"/>
    <mergeCell ref="G62:G66"/>
    <mergeCell ref="H62:I62"/>
    <mergeCell ref="H63:I63"/>
    <mergeCell ref="H64:I64"/>
    <mergeCell ref="H65:I65"/>
    <mergeCell ref="H66:I66"/>
    <mergeCell ref="I55:I56"/>
    <mergeCell ref="G57:K57"/>
    <mergeCell ref="G58:G60"/>
    <mergeCell ref="H58:I58"/>
    <mergeCell ref="H59:I59"/>
    <mergeCell ref="H60:I60"/>
    <mergeCell ref="G55:H56"/>
    <mergeCell ref="A61:E61"/>
    <mergeCell ref="A62:A66"/>
    <mergeCell ref="B62:C62"/>
    <mergeCell ref="B63:C63"/>
    <mergeCell ref="B64:C64"/>
    <mergeCell ref="B65:C65"/>
    <mergeCell ref="B66:C66"/>
    <mergeCell ref="B60:C60"/>
    <mergeCell ref="B59:C59"/>
    <mergeCell ref="B58:C58"/>
    <mergeCell ref="A58:A60"/>
    <mergeCell ref="E13:F13"/>
    <mergeCell ref="A55:B56"/>
    <mergeCell ref="C55:C56"/>
    <mergeCell ref="A57:E57"/>
    <mergeCell ref="E25:F25"/>
  </mergeCells>
  <phoneticPr fontId="0" type="noConversion"/>
  <pageMargins left="0.74803149606299213" right="0.31496062992125984" top="0.98425196850393704" bottom="0.9842519685039370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14</vt:i4>
      </vt:variant>
    </vt:vector>
  </HeadingPairs>
  <TitlesOfParts>
    <vt:vector size="23" baseType="lpstr">
      <vt:lpstr>INVESTIGADOR SENIOR</vt:lpstr>
      <vt:lpstr>INVESTIGADOR JUNIOR</vt:lpstr>
      <vt:lpstr>INVEST. EN FORMACIÓN-PRÁCTICAS</vt:lpstr>
      <vt:lpstr>TITULADOS SUPERIORES I</vt:lpstr>
      <vt:lpstr>TITULADOS SUPERIORES II</vt:lpstr>
      <vt:lpstr>TITULADOS DE GRADO MEDIO</vt:lpstr>
      <vt:lpstr>ESPECIALISTAS TECNICOS</vt:lpstr>
      <vt:lpstr>AUXILIARES</vt:lpstr>
      <vt:lpstr>PARAMETROS</vt:lpstr>
      <vt:lpstr>AUXILIARES!Área_de_impresión</vt:lpstr>
      <vt:lpstr>'INVEST. EN FORMACIÓN-PRÁCTICAS'!Área_de_impresión</vt:lpstr>
      <vt:lpstr>'INVESTIGADOR JUNIOR'!Área_de_impresión</vt:lpstr>
      <vt:lpstr>'INVESTIGADOR SENIOR'!Área_de_impresión</vt:lpstr>
      <vt:lpstr>'TITULADOS DE GRADO MEDIO'!Área_de_impresión</vt:lpstr>
      <vt:lpstr>'TITULADOS SUPERIORES I'!Área_de_impresión</vt:lpstr>
      <vt:lpstr>'TITULADOS SUPERIORES II'!Área_de_impresión</vt:lpstr>
      <vt:lpstr>AUXILIARES!Títulos_a_imprimir</vt:lpstr>
      <vt:lpstr>'INVEST. EN FORMACIÓN-PRÁCTICAS'!Títulos_a_imprimir</vt:lpstr>
      <vt:lpstr>'INVESTIGADOR JUNIOR'!Títulos_a_imprimir</vt:lpstr>
      <vt:lpstr>'INVESTIGADOR SENIOR'!Títulos_a_imprimir</vt:lpstr>
      <vt:lpstr>'TITULADOS DE GRADO MEDIO'!Títulos_a_imprimir</vt:lpstr>
      <vt:lpstr>'TITULADOS SUPERIORES I'!Títulos_a_imprimir</vt:lpstr>
      <vt:lpstr>'TITULADOS SUPERIORES II'!Títulos_a_imprimir</vt:lpstr>
    </vt:vector>
  </TitlesOfParts>
  <Company>oscar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gcremades@umh.es</dc:creator>
  <cp:lastModifiedBy>Fuentes Garcia, Susana</cp:lastModifiedBy>
  <cp:lastPrinted>2017-08-03T06:47:25Z</cp:lastPrinted>
  <dcterms:created xsi:type="dcterms:W3CDTF">2003-11-11T19:24:53Z</dcterms:created>
  <dcterms:modified xsi:type="dcterms:W3CDTF">2021-07-22T12:01:15Z</dcterms:modified>
</cp:coreProperties>
</file>