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uentes\Desktop\INDEFINIDOS REGLAMENTO ANTERIOR\"/>
    </mc:Choice>
  </mc:AlternateContent>
  <workbookProtection workbookAlgorithmName="SHA-512" workbookHashValue="G1n6IY86FquFMs7q/X2pb/ty4IwGXdUFhd+sIyJ7JU2GdatMxxDhz5w0XxNfHxpJI/AFOmcqsBrH8db8dPc1GQ==" workbookSaltValue="dntmeWB5QoTC0LU+1COoJA==" workbookSpinCount="100000" lockStructure="1"/>
  <bookViews>
    <workbookView xWindow="0" yWindow="0" windowWidth="21600" windowHeight="9135" firstSheet="1" activeTab="5"/>
  </bookViews>
  <sheets>
    <sheet name="DOCTORES" sheetId="7" r:id="rId1"/>
    <sheet name="(A) LICENCIADOS-INGEN-ARQU" sheetId="1" r:id="rId2"/>
    <sheet name="(B) DIPLO MADOS" sheetId="5" r:id="rId3"/>
    <sheet name="(C) TECNICO ESPEC LAB FP2 " sheetId="4" r:id="rId4"/>
    <sheet name="(D) AUX ADM-LAB (FP1- GR ESCOL)" sheetId="2" r:id="rId5"/>
    <sheet name="(D) AUX. SERVICIOS" sheetId="8" r:id="rId6"/>
    <sheet name="PARAMETROS" sheetId="3" state="hidden" r:id="rId7"/>
    <sheet name="Hoja1" sheetId="10" state="hidden" r:id="rId8"/>
  </sheets>
  <definedNames>
    <definedName name="RETRIBUCION">'(A) LICENCIADOS-INGEN-ARQU'!$D$2:$E$2</definedName>
  </definedNames>
  <calcPr calcId="162913"/>
</workbook>
</file>

<file path=xl/calcChain.xml><?xml version="1.0" encoding="utf-8"?>
<calcChain xmlns="http://schemas.openxmlformats.org/spreadsheetml/2006/main">
  <c r="G34" i="3" l="1"/>
  <c r="G20" i="3"/>
  <c r="G8" i="3"/>
  <c r="G31" i="8" l="1"/>
  <c r="H31" i="8" s="1"/>
  <c r="J31" i="8" s="1"/>
  <c r="J33" i="8" s="1"/>
  <c r="I17" i="8"/>
  <c r="H15" i="8"/>
  <c r="J15" i="8" s="1"/>
  <c r="H13" i="8"/>
  <c r="J13" i="8" s="1"/>
  <c r="J17" i="8" s="1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" i="8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" i="2"/>
  <c r="G31" i="2"/>
  <c r="H31" i="2" s="1"/>
  <c r="J31" i="2" s="1"/>
  <c r="J33" i="2" s="1"/>
  <c r="I17" i="2"/>
  <c r="H15" i="2"/>
  <c r="J15" i="2" s="1"/>
  <c r="H13" i="2"/>
  <c r="J13" i="2" s="1"/>
  <c r="J17" i="2" s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" i="4"/>
  <c r="G31" i="4"/>
  <c r="H31" i="4" s="1"/>
  <c r="J31" i="4" s="1"/>
  <c r="J33" i="4" s="1"/>
  <c r="I17" i="4"/>
  <c r="H15" i="4"/>
  <c r="J15" i="4" s="1"/>
  <c r="H13" i="4"/>
  <c r="J13" i="4" s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" i="5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" i="1"/>
  <c r="D6" i="5"/>
  <c r="D7" i="5"/>
  <c r="D10" i="5"/>
  <c r="D11" i="5"/>
  <c r="D14" i="5"/>
  <c r="D15" i="5"/>
  <c r="D18" i="5"/>
  <c r="D19" i="5"/>
  <c r="D22" i="5"/>
  <c r="D23" i="5"/>
  <c r="D26" i="5"/>
  <c r="D27" i="5"/>
  <c r="D30" i="5"/>
  <c r="D31" i="5"/>
  <c r="D34" i="5"/>
  <c r="D35" i="5"/>
  <c r="D38" i="5"/>
  <c r="D39" i="5"/>
  <c r="D42" i="5"/>
  <c r="D43" i="5"/>
  <c r="I32" i="5"/>
  <c r="J32" i="5" s="1"/>
  <c r="L32" i="5" s="1"/>
  <c r="L34" i="5" s="1"/>
  <c r="K18" i="5"/>
  <c r="J16" i="5"/>
  <c r="L16" i="5" s="1"/>
  <c r="J14" i="5"/>
  <c r="L14" i="5" s="1"/>
  <c r="L18" i="5" s="1"/>
  <c r="C6" i="5"/>
  <c r="C7" i="5"/>
  <c r="C8" i="5"/>
  <c r="D8" i="5" s="1"/>
  <c r="C9" i="5"/>
  <c r="D9" i="5" s="1"/>
  <c r="C10" i="5"/>
  <c r="C11" i="5"/>
  <c r="C12" i="5"/>
  <c r="D12" i="5" s="1"/>
  <c r="C13" i="5"/>
  <c r="D13" i="5" s="1"/>
  <c r="C14" i="5"/>
  <c r="C15" i="5"/>
  <c r="C16" i="5"/>
  <c r="D16" i="5" s="1"/>
  <c r="C17" i="5"/>
  <c r="D17" i="5" s="1"/>
  <c r="C18" i="5"/>
  <c r="C19" i="5"/>
  <c r="C20" i="5"/>
  <c r="D20" i="5" s="1"/>
  <c r="C21" i="5"/>
  <c r="D21" i="5" s="1"/>
  <c r="C22" i="5"/>
  <c r="C23" i="5"/>
  <c r="C24" i="5"/>
  <c r="D24" i="5" s="1"/>
  <c r="C25" i="5"/>
  <c r="D25" i="5" s="1"/>
  <c r="C26" i="5"/>
  <c r="C27" i="5"/>
  <c r="C28" i="5"/>
  <c r="D28" i="5" s="1"/>
  <c r="C29" i="5"/>
  <c r="D29" i="5" s="1"/>
  <c r="C30" i="5"/>
  <c r="C31" i="5"/>
  <c r="C32" i="5"/>
  <c r="D32" i="5" s="1"/>
  <c r="C33" i="5"/>
  <c r="D33" i="5" s="1"/>
  <c r="C34" i="5"/>
  <c r="C35" i="5"/>
  <c r="C36" i="5"/>
  <c r="D36" i="5" s="1"/>
  <c r="C37" i="5"/>
  <c r="D37" i="5" s="1"/>
  <c r="C38" i="5"/>
  <c r="C39" i="5"/>
  <c r="C40" i="5"/>
  <c r="D40" i="5" s="1"/>
  <c r="C41" i="5"/>
  <c r="D41" i="5" s="1"/>
  <c r="C42" i="5"/>
  <c r="C43" i="5"/>
  <c r="C5" i="5"/>
  <c r="D5" i="5" s="1"/>
  <c r="D6" i="1"/>
  <c r="D9" i="1"/>
  <c r="D10" i="1"/>
  <c r="D13" i="1"/>
  <c r="D14" i="1"/>
  <c r="D17" i="1"/>
  <c r="D18" i="1"/>
  <c r="D21" i="1"/>
  <c r="D22" i="1"/>
  <c r="D25" i="1"/>
  <c r="D26" i="1"/>
  <c r="D29" i="1"/>
  <c r="D30" i="1"/>
  <c r="D33" i="1"/>
  <c r="D34" i="1"/>
  <c r="D37" i="1"/>
  <c r="D38" i="1"/>
  <c r="D41" i="1"/>
  <c r="D42" i="1"/>
  <c r="C6" i="1"/>
  <c r="C7" i="1"/>
  <c r="D7" i="1" s="1"/>
  <c r="C8" i="1"/>
  <c r="D8" i="1" s="1"/>
  <c r="C9" i="1"/>
  <c r="C10" i="1"/>
  <c r="C11" i="1"/>
  <c r="D11" i="1" s="1"/>
  <c r="C12" i="1"/>
  <c r="D12" i="1" s="1"/>
  <c r="C13" i="1"/>
  <c r="C14" i="1"/>
  <c r="C15" i="1"/>
  <c r="D15" i="1" s="1"/>
  <c r="C16" i="1"/>
  <c r="D16" i="1" s="1"/>
  <c r="C17" i="1"/>
  <c r="C18" i="1"/>
  <c r="C19" i="1"/>
  <c r="D19" i="1" s="1"/>
  <c r="C20" i="1"/>
  <c r="D20" i="1" s="1"/>
  <c r="C21" i="1"/>
  <c r="C22" i="1"/>
  <c r="C23" i="1"/>
  <c r="D23" i="1" s="1"/>
  <c r="C24" i="1"/>
  <c r="D24" i="1" s="1"/>
  <c r="C25" i="1"/>
  <c r="C26" i="1"/>
  <c r="C27" i="1"/>
  <c r="D27" i="1" s="1"/>
  <c r="C28" i="1"/>
  <c r="D28" i="1" s="1"/>
  <c r="C29" i="1"/>
  <c r="C30" i="1"/>
  <c r="C31" i="1"/>
  <c r="D31" i="1" s="1"/>
  <c r="C32" i="1"/>
  <c r="D32" i="1" s="1"/>
  <c r="C33" i="1"/>
  <c r="C34" i="1"/>
  <c r="C35" i="1"/>
  <c r="D35" i="1" s="1"/>
  <c r="C36" i="1"/>
  <c r="D36" i="1" s="1"/>
  <c r="C37" i="1"/>
  <c r="C38" i="1"/>
  <c r="C39" i="1"/>
  <c r="D39" i="1" s="1"/>
  <c r="C40" i="1"/>
  <c r="D40" i="1" s="1"/>
  <c r="C41" i="1"/>
  <c r="C42" i="1"/>
  <c r="C43" i="1"/>
  <c r="D43" i="1" s="1"/>
  <c r="C5" i="1"/>
  <c r="D5" i="1" s="1"/>
  <c r="F4" i="1"/>
  <c r="B4" i="1"/>
  <c r="I32" i="1"/>
  <c r="J32" i="1" s="1"/>
  <c r="L32" i="1" s="1"/>
  <c r="L34" i="1" s="1"/>
  <c r="K18" i="1"/>
  <c r="J16" i="1"/>
  <c r="L16" i="1" s="1"/>
  <c r="J14" i="1"/>
  <c r="L14" i="1" s="1"/>
  <c r="I32" i="7"/>
  <c r="J32" i="7" s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" i="7"/>
  <c r="D7" i="7"/>
  <c r="D9" i="7"/>
  <c r="D11" i="7"/>
  <c r="D13" i="7"/>
  <c r="D15" i="7"/>
  <c r="D17" i="7"/>
  <c r="D19" i="7"/>
  <c r="D21" i="7"/>
  <c r="D23" i="7"/>
  <c r="D25" i="7"/>
  <c r="D27" i="7"/>
  <c r="D29" i="7"/>
  <c r="D31" i="7"/>
  <c r="D33" i="7"/>
  <c r="D35" i="7"/>
  <c r="D37" i="7"/>
  <c r="D39" i="7"/>
  <c r="D41" i="7"/>
  <c r="D43" i="7"/>
  <c r="C6" i="7"/>
  <c r="D6" i="7" s="1"/>
  <c r="C7" i="7"/>
  <c r="C8" i="7"/>
  <c r="D8" i="7" s="1"/>
  <c r="C9" i="7"/>
  <c r="C10" i="7"/>
  <c r="D10" i="7" s="1"/>
  <c r="C11" i="7"/>
  <c r="C12" i="7"/>
  <c r="D12" i="7" s="1"/>
  <c r="C13" i="7"/>
  <c r="C14" i="7"/>
  <c r="D14" i="7" s="1"/>
  <c r="C15" i="7"/>
  <c r="C16" i="7"/>
  <c r="D16" i="7" s="1"/>
  <c r="C17" i="7"/>
  <c r="C18" i="7"/>
  <c r="D18" i="7" s="1"/>
  <c r="C19" i="7"/>
  <c r="C20" i="7"/>
  <c r="D20" i="7" s="1"/>
  <c r="C21" i="7"/>
  <c r="C22" i="7"/>
  <c r="D22" i="7" s="1"/>
  <c r="C23" i="7"/>
  <c r="C24" i="7"/>
  <c r="D24" i="7" s="1"/>
  <c r="C25" i="7"/>
  <c r="C26" i="7"/>
  <c r="D26" i="7" s="1"/>
  <c r="C27" i="7"/>
  <c r="C28" i="7"/>
  <c r="D28" i="7" s="1"/>
  <c r="C29" i="7"/>
  <c r="C30" i="7"/>
  <c r="D30" i="7" s="1"/>
  <c r="C31" i="7"/>
  <c r="C32" i="7"/>
  <c r="D32" i="7" s="1"/>
  <c r="C33" i="7"/>
  <c r="C34" i="7"/>
  <c r="D34" i="7" s="1"/>
  <c r="C35" i="7"/>
  <c r="C36" i="7"/>
  <c r="D36" i="7" s="1"/>
  <c r="C37" i="7"/>
  <c r="C38" i="7"/>
  <c r="D38" i="7" s="1"/>
  <c r="C39" i="7"/>
  <c r="C40" i="7"/>
  <c r="D40" i="7" s="1"/>
  <c r="C41" i="7"/>
  <c r="C42" i="7"/>
  <c r="D42" i="7" s="1"/>
  <c r="C43" i="7"/>
  <c r="C5" i="7"/>
  <c r="D5" i="7" s="1"/>
  <c r="J17" i="4" l="1"/>
  <c r="L18" i="1"/>
  <c r="L32" i="7" l="1"/>
  <c r="L34" i="7" s="1"/>
  <c r="K18" i="7"/>
  <c r="J16" i="7"/>
  <c r="L16" i="7" s="1"/>
  <c r="J14" i="7"/>
  <c r="L14" i="7" s="1"/>
  <c r="L18" i="7" l="1"/>
  <c r="G21" i="3" l="1"/>
  <c r="B33" i="3" l="1"/>
  <c r="B36" i="3" s="1"/>
  <c r="C22" i="3" l="1"/>
  <c r="C23" i="3" s="1"/>
  <c r="C11" i="3"/>
  <c r="C13" i="3" s="1"/>
  <c r="C16" i="3" s="1"/>
  <c r="B13" i="3"/>
  <c r="B16" i="3" s="1"/>
  <c r="G35" i="3" l="1"/>
  <c r="B5" i="3" l="1"/>
  <c r="B22" i="4" s="1"/>
  <c r="D22" i="4" s="1"/>
  <c r="B4" i="3"/>
  <c r="B4" i="5" s="1"/>
  <c r="C2" i="3"/>
  <c r="F4" i="7" s="1"/>
  <c r="C20" i="3"/>
  <c r="C26" i="3" s="1"/>
  <c r="C36" i="3" s="1"/>
  <c r="B23" i="3"/>
  <c r="B26" i="4" l="1"/>
  <c r="D26" i="4" s="1"/>
  <c r="C3" i="3"/>
  <c r="F5" i="1" s="1"/>
  <c r="B15" i="4"/>
  <c r="D15" i="4" s="1"/>
  <c r="B35" i="4"/>
  <c r="D35" i="4" s="1"/>
  <c r="B25" i="5"/>
  <c r="B27" i="5"/>
  <c r="B23" i="5"/>
  <c r="B40" i="5"/>
  <c r="B43" i="5"/>
  <c r="B24" i="5"/>
  <c r="B21" i="5"/>
  <c r="B12" i="5"/>
  <c r="B31" i="5"/>
  <c r="B9" i="5"/>
  <c r="B30" i="5"/>
  <c r="B32" i="5"/>
  <c r="B42" i="5"/>
  <c r="B22" i="5"/>
  <c r="B33" i="5"/>
  <c r="B36" i="5"/>
  <c r="C4" i="3"/>
  <c r="F4" i="5" s="1"/>
  <c r="F22" i="5" s="1"/>
  <c r="F19" i="7"/>
  <c r="F39" i="7"/>
  <c r="F5" i="7"/>
  <c r="F32" i="7"/>
  <c r="F17" i="7"/>
  <c r="F7" i="7"/>
  <c r="F20" i="7"/>
  <c r="F40" i="7"/>
  <c r="F25" i="7"/>
  <c r="F6" i="7"/>
  <c r="F28" i="7"/>
  <c r="F13" i="7"/>
  <c r="F33" i="7"/>
  <c r="F10" i="7"/>
  <c r="F36" i="7"/>
  <c r="F21" i="7"/>
  <c r="G21" i="7" s="1"/>
  <c r="F41" i="7"/>
  <c r="F14" i="7"/>
  <c r="F34" i="7"/>
  <c r="F37" i="7"/>
  <c r="F29" i="7"/>
  <c r="F8" i="7"/>
  <c r="F22" i="7"/>
  <c r="F42" i="7"/>
  <c r="F11" i="7"/>
  <c r="F12" i="7"/>
  <c r="F30" i="7"/>
  <c r="F15" i="7"/>
  <c r="F35" i="7"/>
  <c r="F26" i="7"/>
  <c r="F18" i="7"/>
  <c r="F38" i="7"/>
  <c r="F23" i="7"/>
  <c r="F43" i="7"/>
  <c r="F16" i="7"/>
  <c r="F31" i="7"/>
  <c r="F9" i="7"/>
  <c r="F24" i="7"/>
  <c r="F27" i="7"/>
  <c r="F26" i="1"/>
  <c r="F23" i="1"/>
  <c r="B25" i="4"/>
  <c r="D25" i="4" s="1"/>
  <c r="B10" i="4"/>
  <c r="D10" i="4" s="1"/>
  <c r="B34" i="4"/>
  <c r="D34" i="4" s="1"/>
  <c r="B4" i="4"/>
  <c r="D4" i="4" s="1"/>
  <c r="B37" i="4"/>
  <c r="D37" i="4" s="1"/>
  <c r="B36" i="4"/>
  <c r="D36" i="4" s="1"/>
  <c r="F11" i="1"/>
  <c r="F32" i="1"/>
  <c r="F22" i="1"/>
  <c r="F12" i="1"/>
  <c r="F29" i="1"/>
  <c r="F15" i="1"/>
  <c r="F28" i="1"/>
  <c r="B39" i="5"/>
  <c r="B38" i="5"/>
  <c r="B16" i="5"/>
  <c r="B10" i="5"/>
  <c r="B5" i="5"/>
  <c r="B34" i="5"/>
  <c r="B19" i="5"/>
  <c r="B26" i="5"/>
  <c r="B6" i="5"/>
  <c r="B20" i="5"/>
  <c r="B8" i="5"/>
  <c r="B29" i="5"/>
  <c r="B35" i="5"/>
  <c r="B11" i="5"/>
  <c r="B15" i="5"/>
  <c r="B17" i="5"/>
  <c r="B18" i="5"/>
  <c r="B37" i="5"/>
  <c r="B13" i="5"/>
  <c r="B28" i="5"/>
  <c r="B41" i="5"/>
  <c r="B14" i="5"/>
  <c r="B7" i="5"/>
  <c r="B30" i="4"/>
  <c r="D30" i="4" s="1"/>
  <c r="B24" i="4"/>
  <c r="D24" i="4" s="1"/>
  <c r="B31" i="4"/>
  <c r="D31" i="4" s="1"/>
  <c r="B11" i="4"/>
  <c r="D11" i="4" s="1"/>
  <c r="B8" i="4"/>
  <c r="D8" i="4" s="1"/>
  <c r="B38" i="4"/>
  <c r="D38" i="4" s="1"/>
  <c r="B28" i="4"/>
  <c r="D28" i="4" s="1"/>
  <c r="B42" i="4"/>
  <c r="D42" i="4" s="1"/>
  <c r="B16" i="4"/>
  <c r="D16" i="4" s="1"/>
  <c r="B12" i="4"/>
  <c r="D12" i="4" s="1"/>
  <c r="B19" i="4"/>
  <c r="D19" i="4" s="1"/>
  <c r="B5" i="4"/>
  <c r="D5" i="4" s="1"/>
  <c r="B17" i="4"/>
  <c r="D17" i="4" s="1"/>
  <c r="B20" i="4"/>
  <c r="D20" i="4" s="1"/>
  <c r="B18" i="4"/>
  <c r="D18" i="4" s="1"/>
  <c r="B40" i="4"/>
  <c r="D40" i="4" s="1"/>
  <c r="B3" i="4"/>
  <c r="B21" i="4"/>
  <c r="D21" i="4" s="1"/>
  <c r="B14" i="4"/>
  <c r="D14" i="4" s="1"/>
  <c r="B9" i="4"/>
  <c r="D9" i="4" s="1"/>
  <c r="B6" i="4"/>
  <c r="D6" i="4" s="1"/>
  <c r="B32" i="4"/>
  <c r="D32" i="4" s="1"/>
  <c r="B13" i="4"/>
  <c r="D13" i="4" s="1"/>
  <c r="B33" i="4"/>
  <c r="D33" i="4" s="1"/>
  <c r="B27" i="4"/>
  <c r="D27" i="4" s="1"/>
  <c r="B41" i="4"/>
  <c r="D41" i="4" s="1"/>
  <c r="B7" i="4"/>
  <c r="D7" i="4" s="1"/>
  <c r="B39" i="4"/>
  <c r="D39" i="4" s="1"/>
  <c r="B23" i="4"/>
  <c r="D23" i="4" s="1"/>
  <c r="B29" i="4"/>
  <c r="D29" i="4" s="1"/>
  <c r="B20" i="3"/>
  <c r="B26" i="3" s="1"/>
  <c r="B2" i="3"/>
  <c r="B4" i="7" s="1"/>
  <c r="G9" i="3"/>
  <c r="B6" i="3" s="1"/>
  <c r="B3" i="2" s="1"/>
  <c r="F13" i="1" l="1"/>
  <c r="F14" i="1"/>
  <c r="F33" i="1"/>
  <c r="F9" i="1"/>
  <c r="F41" i="1"/>
  <c r="F39" i="1"/>
  <c r="F19" i="1"/>
  <c r="F24" i="1"/>
  <c r="F16" i="1"/>
  <c r="F38" i="1"/>
  <c r="F18" i="1"/>
  <c r="F25" i="1"/>
  <c r="F7" i="1"/>
  <c r="F8" i="1"/>
  <c r="F21" i="1"/>
  <c r="F27" i="1"/>
  <c r="F17" i="1"/>
  <c r="F43" i="1"/>
  <c r="F36" i="1"/>
  <c r="F31" i="1"/>
  <c r="F10" i="1"/>
  <c r="F34" i="1"/>
  <c r="F30" i="1"/>
  <c r="F40" i="1"/>
  <c r="F6" i="1"/>
  <c r="F37" i="1"/>
  <c r="F35" i="1"/>
  <c r="F42" i="1"/>
  <c r="F20" i="1"/>
  <c r="B3" i="3"/>
  <c r="B37" i="1" s="1"/>
  <c r="F40" i="5"/>
  <c r="F27" i="5"/>
  <c r="F11" i="5"/>
  <c r="F19" i="5"/>
  <c r="F43" i="5"/>
  <c r="F23" i="5"/>
  <c r="F6" i="5"/>
  <c r="F31" i="5"/>
  <c r="F34" i="5"/>
  <c r="F36" i="5"/>
  <c r="F7" i="5"/>
  <c r="F5" i="5"/>
  <c r="F10" i="5"/>
  <c r="F39" i="5"/>
  <c r="F24" i="5"/>
  <c r="F29" i="5"/>
  <c r="F33" i="5"/>
  <c r="F17" i="5"/>
  <c r="F21" i="5"/>
  <c r="F25" i="5"/>
  <c r="F9" i="5"/>
  <c r="F13" i="5"/>
  <c r="F38" i="5"/>
  <c r="F42" i="5"/>
  <c r="F15" i="5"/>
  <c r="F8" i="5"/>
  <c r="F12" i="5"/>
  <c r="F37" i="5"/>
  <c r="F41" i="5"/>
  <c r="F14" i="5"/>
  <c r="F26" i="5"/>
  <c r="F28" i="5"/>
  <c r="F30" i="5"/>
  <c r="F32" i="5"/>
  <c r="F35" i="5"/>
  <c r="F16" i="5"/>
  <c r="F18" i="5"/>
  <c r="F20" i="5"/>
  <c r="B12" i="7"/>
  <c r="B32" i="7"/>
  <c r="B28" i="7"/>
  <c r="B34" i="7"/>
  <c r="B23" i="7"/>
  <c r="B18" i="7"/>
  <c r="B8" i="7"/>
  <c r="B20" i="7"/>
  <c r="B22" i="7"/>
  <c r="B30" i="7"/>
  <c r="B10" i="7"/>
  <c r="B7" i="7"/>
  <c r="B16" i="7"/>
  <c r="B21" i="7"/>
  <c r="B43" i="7"/>
  <c r="B42" i="7"/>
  <c r="B5" i="7"/>
  <c r="B40" i="7"/>
  <c r="B14" i="7"/>
  <c r="B17" i="7"/>
  <c r="B36" i="7"/>
  <c r="B6" i="7"/>
  <c r="B19" i="7"/>
  <c r="B31" i="7"/>
  <c r="B35" i="7"/>
  <c r="B37" i="7"/>
  <c r="B9" i="7"/>
  <c r="B39" i="7"/>
  <c r="B33" i="7"/>
  <c r="B26" i="7"/>
  <c r="B25" i="7"/>
  <c r="B27" i="7"/>
  <c r="B41" i="7"/>
  <c r="B15" i="7"/>
  <c r="B29" i="7"/>
  <c r="B11" i="7"/>
  <c r="B24" i="7"/>
  <c r="B13" i="7"/>
  <c r="B38" i="7"/>
  <c r="B3" i="8"/>
  <c r="B7" i="3"/>
  <c r="B34" i="2"/>
  <c r="D34" i="2" s="1"/>
  <c r="B42" i="2"/>
  <c r="D42" i="2" s="1"/>
  <c r="B29" i="2"/>
  <c r="D29" i="2" s="1"/>
  <c r="B7" i="2"/>
  <c r="D7" i="2" s="1"/>
  <c r="B15" i="2"/>
  <c r="D15" i="2" s="1"/>
  <c r="B14" i="2"/>
  <c r="D14" i="2" s="1"/>
  <c r="B22" i="2"/>
  <c r="D22" i="2" s="1"/>
  <c r="B20" i="2"/>
  <c r="D20" i="2" s="1"/>
  <c r="B4" i="2"/>
  <c r="D4" i="2" s="1"/>
  <c r="B5" i="2"/>
  <c r="D5" i="2" s="1"/>
  <c r="B27" i="2"/>
  <c r="D27" i="2" s="1"/>
  <c r="B24" i="2"/>
  <c r="D24" i="2" s="1"/>
  <c r="B12" i="2"/>
  <c r="D12" i="2" s="1"/>
  <c r="B25" i="2"/>
  <c r="D25" i="2" s="1"/>
  <c r="B37" i="2"/>
  <c r="D37" i="2" s="1"/>
  <c r="B19" i="2"/>
  <c r="D19" i="2" s="1"/>
  <c r="B32" i="2"/>
  <c r="D32" i="2" s="1"/>
  <c r="B39" i="2"/>
  <c r="D39" i="2" s="1"/>
  <c r="B16" i="2"/>
  <c r="D16" i="2" s="1"/>
  <c r="B8" i="2"/>
  <c r="D8" i="2" s="1"/>
  <c r="B40" i="2"/>
  <c r="D40" i="2" s="1"/>
  <c r="B21" i="2"/>
  <c r="D21" i="2" s="1"/>
  <c r="B13" i="2"/>
  <c r="D13" i="2" s="1"/>
  <c r="B9" i="2"/>
  <c r="D9" i="2" s="1"/>
  <c r="B11" i="2"/>
  <c r="D11" i="2" s="1"/>
  <c r="B36" i="2"/>
  <c r="D36" i="2" s="1"/>
  <c r="B28" i="2"/>
  <c r="D28" i="2" s="1"/>
  <c r="B17" i="2"/>
  <c r="D17" i="2" s="1"/>
  <c r="B23" i="2"/>
  <c r="D23" i="2" s="1"/>
  <c r="B38" i="2"/>
  <c r="D38" i="2" s="1"/>
  <c r="B26" i="2"/>
  <c r="D26" i="2" s="1"/>
  <c r="B33" i="2"/>
  <c r="D33" i="2" s="1"/>
  <c r="B35" i="2"/>
  <c r="D35" i="2" s="1"/>
  <c r="B10" i="2"/>
  <c r="D10" i="2" s="1"/>
  <c r="B31" i="2"/>
  <c r="D31" i="2" s="1"/>
  <c r="B41" i="2"/>
  <c r="D41" i="2" s="1"/>
  <c r="B30" i="2"/>
  <c r="D30" i="2" s="1"/>
  <c r="B18" i="2"/>
  <c r="D18" i="2" s="1"/>
  <c r="B6" i="2"/>
  <c r="D6" i="2" s="1"/>
  <c r="B18" i="1" l="1"/>
  <c r="B22" i="1"/>
  <c r="B13" i="1"/>
  <c r="B26" i="1"/>
  <c r="B38" i="1"/>
  <c r="B43" i="1"/>
  <c r="B34" i="1"/>
  <c r="B7" i="1"/>
  <c r="B10" i="1"/>
  <c r="B30" i="1"/>
  <c r="B42" i="1"/>
  <c r="B17" i="1"/>
  <c r="B12" i="1"/>
  <c r="B23" i="1"/>
  <c r="B35" i="1"/>
  <c r="B5" i="1"/>
  <c r="B39" i="1"/>
  <c r="B6" i="1"/>
  <c r="B14" i="1"/>
  <c r="B20" i="1"/>
  <c r="B24" i="1"/>
  <c r="B28" i="1"/>
  <c r="B32" i="1"/>
  <c r="B36" i="1"/>
  <c r="B15" i="1"/>
  <c r="B19" i="1"/>
  <c r="B27" i="1"/>
  <c r="B31" i="1"/>
  <c r="B40" i="1"/>
  <c r="B11" i="1"/>
  <c r="B9" i="1"/>
  <c r="B41" i="1"/>
  <c r="B8" i="1"/>
  <c r="B16" i="1"/>
  <c r="B21" i="1"/>
  <c r="B25" i="1"/>
  <c r="B29" i="1"/>
  <c r="B33" i="1"/>
  <c r="B22" i="8"/>
  <c r="D22" i="8" s="1"/>
  <c r="B12" i="8"/>
  <c r="D12" i="8" s="1"/>
  <c r="B6" i="8"/>
  <c r="D6" i="8" s="1"/>
  <c r="B13" i="8"/>
  <c r="D13" i="8" s="1"/>
  <c r="B15" i="8"/>
  <c r="D15" i="8" s="1"/>
  <c r="B27" i="8"/>
  <c r="D27" i="8" s="1"/>
  <c r="B37" i="8"/>
  <c r="D37" i="8" s="1"/>
  <c r="B31" i="8"/>
  <c r="D31" i="8" s="1"/>
  <c r="B40" i="8"/>
  <c r="D40" i="8" s="1"/>
  <c r="B24" i="8"/>
  <c r="D24" i="8" s="1"/>
  <c r="B36" i="8"/>
  <c r="D36" i="8" s="1"/>
  <c r="B25" i="8"/>
  <c r="D25" i="8" s="1"/>
  <c r="B7" i="8"/>
  <c r="D7" i="8" s="1"/>
  <c r="B14" i="8"/>
  <c r="D14" i="8" s="1"/>
  <c r="B26" i="8"/>
  <c r="D26" i="8" s="1"/>
  <c r="B28" i="8"/>
  <c r="D28" i="8" s="1"/>
  <c r="B35" i="8"/>
  <c r="D35" i="8" s="1"/>
  <c r="B29" i="8"/>
  <c r="D29" i="8" s="1"/>
  <c r="B11" i="8"/>
  <c r="D11" i="8" s="1"/>
  <c r="B4" i="8"/>
  <c r="D4" i="8" s="1"/>
  <c r="B30" i="8"/>
  <c r="D30" i="8" s="1"/>
  <c r="B42" i="8"/>
  <c r="D42" i="8" s="1"/>
  <c r="B9" i="8"/>
  <c r="D9" i="8" s="1"/>
  <c r="B41" i="8"/>
  <c r="D41" i="8" s="1"/>
  <c r="B10" i="8"/>
  <c r="D10" i="8" s="1"/>
  <c r="B19" i="8"/>
  <c r="D19" i="8" s="1"/>
  <c r="B16" i="8"/>
  <c r="D16" i="8" s="1"/>
  <c r="B8" i="8"/>
  <c r="D8" i="8" s="1"/>
  <c r="B34" i="8"/>
  <c r="D34" i="8" s="1"/>
  <c r="B5" i="8"/>
  <c r="D5" i="8" s="1"/>
  <c r="B23" i="8"/>
  <c r="D23" i="8" s="1"/>
  <c r="B39" i="8"/>
  <c r="D39" i="8" s="1"/>
  <c r="B33" i="8"/>
  <c r="D33" i="8" s="1"/>
  <c r="B20" i="8"/>
  <c r="D20" i="8" s="1"/>
  <c r="B21" i="8"/>
  <c r="D21" i="8" s="1"/>
  <c r="B18" i="8"/>
  <c r="D18" i="8" s="1"/>
  <c r="B17" i="8"/>
  <c r="D17" i="8" s="1"/>
  <c r="B38" i="8"/>
  <c r="D38" i="8" s="1"/>
  <c r="B32" i="8"/>
  <c r="D32" i="8" s="1"/>
</calcChain>
</file>

<file path=xl/sharedStrings.xml><?xml version="1.0" encoding="utf-8"?>
<sst xmlns="http://schemas.openxmlformats.org/spreadsheetml/2006/main" count="265" uniqueCount="77">
  <si>
    <t>HORAS DEDICACION SEMANALES</t>
  </si>
  <si>
    <t>LICENCIADO</t>
  </si>
  <si>
    <t>SALARIOS BRUTOS</t>
  </si>
  <si>
    <t>AUXILIAR ADMINISTRATIVO</t>
  </si>
  <si>
    <t>SUELDO</t>
  </si>
  <si>
    <t>AUX. ADMINISTRATIVO</t>
  </si>
  <si>
    <t>P.P. EXTRAS</t>
  </si>
  <si>
    <t>INDEMNIZACION</t>
  </si>
  <si>
    <t>TOTAL,,,,,,,,,,,,,,</t>
  </si>
  <si>
    <t>DIPLOMADOS</t>
  </si>
  <si>
    <t>ESP TEC LABORATORIO</t>
  </si>
  <si>
    <t>ESP. TEC. LABORATORIO</t>
  </si>
  <si>
    <t>C. DESTINO (18)</t>
  </si>
  <si>
    <t>C. ESPECIFICO (28)</t>
  </si>
  <si>
    <t>C. DESTINO (14)</t>
  </si>
  <si>
    <t>C. ESPECIFICO (24)</t>
  </si>
  <si>
    <t>PP EXTRAS</t>
  </si>
  <si>
    <t>INDENIZACION</t>
  </si>
  <si>
    <t>€/MES (MÍNIMOS)</t>
  </si>
  <si>
    <t xml:space="preserve">LICENCIADO </t>
  </si>
  <si>
    <t>€/MES (MAXIMOS)</t>
  </si>
  <si>
    <t>€/MES (MÁXIMOS)</t>
  </si>
  <si>
    <t>C. DESTINO (27)</t>
  </si>
  <si>
    <t>C. ESPECIFICO</t>
  </si>
  <si>
    <t>DOCTOR</t>
  </si>
  <si>
    <t>DIPLOMADO</t>
  </si>
  <si>
    <t>€/MES (MINIMOS)</t>
  </si>
  <si>
    <t xml:space="preserve">DOCTOR </t>
  </si>
  <si>
    <t>C. DESTINO (29)</t>
  </si>
  <si>
    <t>MINIMOS</t>
  </si>
  <si>
    <t>MAXIMOS</t>
  </si>
  <si>
    <t>AUXILIAR DE SERVICIOS</t>
  </si>
  <si>
    <t>AUX. DE SERVICIOS</t>
  </si>
  <si>
    <t>C. ESPECIFICO (20)</t>
  </si>
  <si>
    <t>TOTAL (DOCTOR TC)</t>
  </si>
  <si>
    <t>TOTAL (PROF TITULAR TC)</t>
  </si>
  <si>
    <t>TOTAL (80% P. TITULAR TC)</t>
  </si>
  <si>
    <t>SUELDO (A)</t>
  </si>
  <si>
    <t>SUELDO (B)</t>
  </si>
  <si>
    <t>componente compensatorio</t>
  </si>
  <si>
    <t>BASE MINIMA/HORA Tº PARCIAL GRUPO 1</t>
  </si>
  <si>
    <t>BASE MINIMA G1</t>
  </si>
  <si>
    <t>BASE MINIMA/HORA Tº PARCIAL GRUPO 2</t>
  </si>
  <si>
    <t>BASE MINIMA/HORA Tº PARCIAL GRUPO 4-11</t>
  </si>
  <si>
    <t>12DIAS</t>
  </si>
  <si>
    <t>12 DIAS</t>
  </si>
  <si>
    <t>BASE MINIMA/HORA Tº PARCIAL GRUPO 5</t>
  </si>
  <si>
    <t>RETRIBUCION BRUTA MENSUAL</t>
  </si>
  <si>
    <t>CONTINGENCIAS COMUNES</t>
  </si>
  <si>
    <t>CONTINGENCIAS PROFESIONALES</t>
  </si>
  <si>
    <t>Grupo de Cotización</t>
  </si>
  <si>
    <t>Bases mínimas euros/mes</t>
  </si>
  <si>
    <t>Bases máximas euros/mes</t>
  </si>
  <si>
    <t>TOPE MÍNIMO</t>
  </si>
  <si>
    <t>TOPE MÁXIMO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</si>
  <si>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</t>
    </r>
    <r>
      <rPr>
        <sz val="9"/>
        <color rgb="FF0033CC"/>
        <rFont val="Verdana"/>
        <family val="2"/>
      </rPr>
      <t xml:space="preserve">para </t>
    </r>
    <r>
      <rPr>
        <b/>
        <sz val="9"/>
        <color rgb="FF0033CC"/>
        <rFont val="Verdana"/>
        <family val="2"/>
      </rPr>
      <t>40h/semana ………………………………</t>
    </r>
  </si>
  <si>
    <t>CALCULADORA COSTE SEG.SOCIAL TIEMPO COMPLETO</t>
  </si>
  <si>
    <t>Base Cotización</t>
  </si>
  <si>
    <t>Tipos cotización %</t>
  </si>
  <si>
    <t>Cuota Patronal</t>
  </si>
  <si>
    <t>Contingencias Comunes</t>
  </si>
  <si>
    <t>Contingencias Profesionales</t>
  </si>
  <si>
    <t>TOTAL COSTE SEGURIDAD SOCIAL</t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</si>
  <si>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comprendidas </t>
    </r>
    <r>
      <rPr>
        <b/>
        <sz val="9"/>
        <rFont val="Verdana"/>
        <family val="2"/>
      </rPr>
      <t>en el rango del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intervalo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establecido</t>
    </r>
    <r>
      <rPr>
        <sz val="9"/>
        <rFont val="Verdana"/>
        <family val="2"/>
      </rPr>
      <t xml:space="preserve">, usar la siguiente calculadora para determinar el coste de Seguridad Social 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</si>
  <si>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DEDICACION de HORAS semanales…………………………….……………………………….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</si>
  <si>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PROPUESTA ……….……………….……………………………….</t>
    </r>
  </si>
  <si>
    <t>CALCULADORA COSTE SEG.SOCIAL TIEMPO PARCIAL</t>
  </si>
  <si>
    <t>Base mín.Cotiz.</t>
  </si>
  <si>
    <t>Tipo cotización %</t>
  </si>
  <si>
    <t>TOTAL COSTE SEGURIDAD SOCIAL……..</t>
  </si>
  <si>
    <r>
      <rPr>
        <b/>
        <sz val="10"/>
        <rFont val="Verdana"/>
        <family val="2"/>
      </rPr>
      <t>(*) NOTA:</t>
    </r>
    <r>
      <rPr>
        <sz val="10"/>
        <rFont val="Verdana"/>
        <family val="2"/>
      </rPr>
      <t xml:space="preserve"> Para calcular el coste total del contrato/renovación para el periodo, utilice la siguiente plantilla………………………………………………………</t>
    </r>
  </si>
  <si>
    <t>CALCULO RC</t>
  </si>
  <si>
    <t>CUOTA SEG. SOCIAL 31,40%</t>
  </si>
  <si>
    <t>BASE MINIMA G7</t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</si>
  <si>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distintas a las establecidas en tablas, según bases de la convocatoria, usar la siguiente calculadora para determinar el coste de Seguridad Social </t>
    </r>
  </si>
  <si>
    <t>BASE MINIMA G5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</si>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</sst>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8" x14ac:knownFonts="1">
    <font>
      <sz val="10"/>
      <name val="Arial"/>
    </font>
    <font>
      <sz val="10"/>
      <name val="Arial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8"/>
      <name val="Arial"/>
    </font>
    <font>
      <sz val="10"/>
      <color indexed="10"/>
      <name val="Arial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8"/>
      <name val="Cambria"/>
      <family val="1"/>
      <scheme val="major"/>
    </font>
    <font>
      <sz val="18"/>
      <name val="Cambria"/>
      <family val="1"/>
      <scheme val="major"/>
    </font>
    <font>
      <b/>
      <sz val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9"/>
      <color rgb="FF0033CC"/>
      <name val="Verdana"/>
      <family val="2"/>
    </font>
    <font>
      <sz val="9"/>
      <color rgb="FF0033CC"/>
      <name val="Verdana"/>
      <family val="2"/>
    </font>
    <font>
      <b/>
      <sz val="10"/>
      <color rgb="FF0033CC"/>
      <name val="Verdana"/>
      <family val="2"/>
    </font>
    <font>
      <sz val="10"/>
      <color rgb="FF0033CC"/>
      <name val="Verdana"/>
      <family val="2"/>
    </font>
    <font>
      <b/>
      <i/>
      <sz val="9"/>
      <name val="Verdana"/>
      <family val="2"/>
    </font>
    <font>
      <i/>
      <sz val="10"/>
      <name val="Verdana"/>
      <family val="2"/>
    </font>
    <font>
      <b/>
      <sz val="9"/>
      <color rgb="FF0000CC"/>
      <name val="Verdana"/>
      <family val="2"/>
    </font>
    <font>
      <b/>
      <i/>
      <sz val="9"/>
      <color theme="0" tint="-0.34998626667073579"/>
      <name val="Verdana"/>
      <family val="2"/>
    </font>
    <font>
      <i/>
      <sz val="10"/>
      <color theme="0" tint="-0.34998626667073579"/>
      <name val="Verdana"/>
      <family val="2"/>
    </font>
    <font>
      <b/>
      <sz val="10"/>
      <name val="Verdana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2" borderId="1" xfId="0" applyFill="1" applyBorder="1"/>
    <xf numFmtId="2" fontId="0" fillId="2" borderId="1" xfId="0" applyNumberFormat="1" applyFill="1" applyBorder="1"/>
    <xf numFmtId="0" fontId="4" fillId="2" borderId="0" xfId="0" applyFont="1" applyFill="1"/>
    <xf numFmtId="2" fontId="4" fillId="2" borderId="0" xfId="0" applyNumberFormat="1" applyFont="1" applyFill="1"/>
    <xf numFmtId="0" fontId="0" fillId="3" borderId="0" xfId="0" applyFill="1"/>
    <xf numFmtId="2" fontId="0" fillId="3" borderId="0" xfId="0" applyNumberFormat="1" applyFill="1"/>
    <xf numFmtId="0" fontId="4" fillId="3" borderId="0" xfId="0" applyFont="1" applyFill="1"/>
    <xf numFmtId="2" fontId="4" fillId="3" borderId="0" xfId="0" applyNumberFormat="1" applyFont="1" applyFill="1"/>
    <xf numFmtId="0" fontId="0" fillId="0" borderId="0" xfId="0" applyBorder="1"/>
    <xf numFmtId="0" fontId="2" fillId="3" borderId="0" xfId="0" applyFont="1" applyFill="1" applyAlignment="1"/>
    <xf numFmtId="0" fontId="2" fillId="4" borderId="0" xfId="0" applyFont="1" applyFill="1"/>
    <xf numFmtId="0" fontId="5" fillId="4" borderId="0" xfId="0" applyFont="1" applyFill="1"/>
    <xf numFmtId="0" fontId="0" fillId="0" borderId="1" xfId="0" applyBorder="1"/>
    <xf numFmtId="2" fontId="0" fillId="0" borderId="1" xfId="0" applyNumberForma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3" fillId="4" borderId="0" xfId="0" applyFont="1" applyFill="1"/>
    <xf numFmtId="2" fontId="4" fillId="0" borderId="0" xfId="0" applyNumberFormat="1" applyFont="1"/>
    <xf numFmtId="2" fontId="0" fillId="0" borderId="0" xfId="0" applyNumberFormat="1" applyBorder="1"/>
    <xf numFmtId="0" fontId="2" fillId="5" borderId="0" xfId="0" applyFont="1" applyFill="1" applyAlignment="1">
      <alignment horizontal="center"/>
    </xf>
    <xf numFmtId="2" fontId="0" fillId="4" borderId="3" xfId="0" applyNumberFormat="1" applyFill="1" applyBorder="1"/>
    <xf numFmtId="2" fontId="3" fillId="4" borderId="3" xfId="0" applyNumberFormat="1" applyFont="1" applyFill="1" applyBorder="1" applyAlignment="1">
      <alignment horizontal="right"/>
    </xf>
    <xf numFmtId="2" fontId="0" fillId="4" borderId="2" xfId="0" applyNumberFormat="1" applyFill="1" applyBorder="1"/>
    <xf numFmtId="0" fontId="0" fillId="2" borderId="0" xfId="0" applyFill="1" applyBorder="1"/>
    <xf numFmtId="2" fontId="8" fillId="3" borderId="0" xfId="0" applyNumberFormat="1" applyFont="1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2" fontId="9" fillId="0" borderId="3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2" fontId="9" fillId="0" borderId="0" xfId="0" applyNumberFormat="1" applyFont="1"/>
    <xf numFmtId="0" fontId="10" fillId="0" borderId="0" xfId="0" applyFont="1"/>
    <xf numFmtId="0" fontId="9" fillId="7" borderId="4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/>
    <xf numFmtId="2" fontId="2" fillId="4" borderId="2" xfId="0" applyNumberFormat="1" applyFont="1" applyFill="1" applyBorder="1" applyAlignment="1">
      <alignment horizontal="center"/>
    </xf>
    <xf numFmtId="2" fontId="0" fillId="2" borderId="0" xfId="0" applyNumberFormat="1" applyFill="1" applyBorder="1"/>
    <xf numFmtId="2" fontId="8" fillId="2" borderId="0" xfId="0" applyNumberFormat="1" applyFont="1" applyFill="1" applyBorder="1"/>
    <xf numFmtId="2" fontId="2" fillId="3" borderId="0" xfId="0" applyNumberFormat="1" applyFont="1" applyFill="1" applyAlignment="1"/>
    <xf numFmtId="0" fontId="0" fillId="3" borderId="19" xfId="0" applyFill="1" applyBorder="1"/>
    <xf numFmtId="2" fontId="0" fillId="3" borderId="19" xfId="0" applyNumberFormat="1" applyFill="1" applyBorder="1"/>
    <xf numFmtId="0" fontId="9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9" fillId="0" borderId="20" xfId="0" applyFont="1" applyBorder="1" applyAlignment="1">
      <alignment horizontal="center"/>
    </xf>
    <xf numFmtId="0" fontId="9" fillId="0" borderId="20" xfId="0" applyFont="1" applyBorder="1"/>
    <xf numFmtId="2" fontId="10" fillId="0" borderId="0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/>
    <xf numFmtId="2" fontId="16" fillId="0" borderId="0" xfId="0" applyNumberFormat="1" applyFont="1"/>
    <xf numFmtId="0" fontId="20" fillId="0" borderId="0" xfId="0" applyFont="1" applyAlignment="1">
      <alignment horizontal="center" wrapText="1"/>
    </xf>
    <xf numFmtId="2" fontId="20" fillId="0" borderId="0" xfId="0" applyNumberFormat="1" applyFont="1"/>
    <xf numFmtId="0" fontId="20" fillId="0" borderId="0" xfId="0" applyFont="1"/>
    <xf numFmtId="0" fontId="20" fillId="0" borderId="0" xfId="0" applyFont="1" applyAlignment="1"/>
    <xf numFmtId="0" fontId="21" fillId="0" borderId="12" xfId="0" applyFont="1" applyFill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21" xfId="0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2" fontId="22" fillId="0" borderId="12" xfId="2" applyNumberFormat="1" applyFont="1" applyBorder="1" applyAlignment="1">
      <alignment horizontal="center" vertical="center"/>
    </xf>
    <xf numFmtId="8" fontId="19" fillId="10" borderId="12" xfId="1" applyNumberFormat="1" applyFont="1" applyFill="1" applyBorder="1" applyAlignment="1">
      <alignment vertical="center"/>
    </xf>
    <xf numFmtId="0" fontId="22" fillId="0" borderId="23" xfId="0" applyFont="1" applyBorder="1" applyAlignment="1">
      <alignment vertical="center" wrapText="1"/>
    </xf>
    <xf numFmtId="8" fontId="22" fillId="0" borderId="23" xfId="0" applyNumberFormat="1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horizontal="right" vertical="center"/>
    </xf>
    <xf numFmtId="0" fontId="24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7" borderId="27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/>
    </xf>
    <xf numFmtId="0" fontId="9" fillId="0" borderId="23" xfId="0" applyFont="1" applyBorder="1"/>
    <xf numFmtId="2" fontId="10" fillId="0" borderId="29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7" borderId="2" xfId="0" applyFont="1" applyFill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10" fillId="0" borderId="29" xfId="0" applyNumberFormat="1" applyFont="1" applyBorder="1" applyAlignment="1">
      <alignment horizontal="center"/>
    </xf>
    <xf numFmtId="2" fontId="9" fillId="0" borderId="30" xfId="0" applyNumberFormat="1" applyFont="1" applyBorder="1" applyAlignment="1">
      <alignment horizontal="center" vertical="center"/>
    </xf>
    <xf numFmtId="0" fontId="9" fillId="7" borderId="2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16" fillId="0" borderId="0" xfId="0" applyFont="1" applyFill="1" applyBorder="1"/>
    <xf numFmtId="0" fontId="4" fillId="0" borderId="0" xfId="0" applyFont="1" applyAlignment="1">
      <alignment horizontal="center" wrapText="1"/>
    </xf>
    <xf numFmtId="0" fontId="9" fillId="7" borderId="34" xfId="0" applyFont="1" applyFill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9" fillId="7" borderId="35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 wrapText="1"/>
    </xf>
    <xf numFmtId="0" fontId="13" fillId="9" borderId="20" xfId="0" applyFont="1" applyFill="1" applyBorder="1" applyAlignment="1">
      <alignment horizont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 shrinkToFit="1"/>
    </xf>
    <xf numFmtId="0" fontId="11" fillId="6" borderId="8" xfId="0" applyFont="1" applyFill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44" fontId="19" fillId="10" borderId="18" xfId="1" applyFont="1" applyFill="1" applyBorder="1" applyAlignment="1">
      <alignment horizontal="center" vertical="center"/>
    </xf>
    <xf numFmtId="44" fontId="19" fillId="10" borderId="22" xfId="1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8" fontId="22" fillId="0" borderId="13" xfId="0" applyNumberFormat="1" applyFont="1" applyBorder="1" applyAlignment="1">
      <alignment horizontal="center" vertical="center"/>
    </xf>
    <xf numFmtId="8" fontId="22" fillId="0" borderId="8" xfId="0" applyNumberFormat="1" applyFont="1" applyBorder="1" applyAlignment="1">
      <alignment horizontal="center" vertical="center"/>
    </xf>
    <xf numFmtId="2" fontId="22" fillId="0" borderId="20" xfId="2" applyNumberFormat="1" applyFont="1" applyBorder="1" applyAlignment="1">
      <alignment horizontal="center" vertical="center"/>
    </xf>
    <xf numFmtId="2" fontId="22" fillId="0" borderId="25" xfId="2" applyNumberFormat="1" applyFont="1" applyBorder="1" applyAlignment="1">
      <alignment horizontal="center" vertical="center"/>
    </xf>
    <xf numFmtId="8" fontId="22" fillId="0" borderId="18" xfId="0" applyNumberFormat="1" applyFont="1" applyBorder="1" applyAlignment="1">
      <alignment horizontal="right" vertical="center"/>
    </xf>
    <xf numFmtId="0" fontId="22" fillId="0" borderId="22" xfId="0" applyFont="1" applyBorder="1" applyAlignment="1">
      <alignment horizontal="right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8" fontId="22" fillId="0" borderId="13" xfId="0" applyNumberFormat="1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23" fillId="10" borderId="10" xfId="0" applyFont="1" applyFill="1" applyBorder="1" applyAlignment="1">
      <alignment horizontal="left" vertical="center" wrapText="1"/>
    </xf>
    <xf numFmtId="0" fontId="23" fillId="10" borderId="1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1" fontId="19" fillId="10" borderId="18" xfId="1" applyNumberFormat="1" applyFont="1" applyFill="1" applyBorder="1" applyAlignment="1">
      <alignment horizontal="center" vertical="center"/>
    </xf>
    <xf numFmtId="1" fontId="19" fillId="10" borderId="22" xfId="1" applyNumberFormat="1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right" vertical="center" wrapText="1"/>
    </xf>
    <xf numFmtId="0" fontId="23" fillId="10" borderId="17" xfId="0" applyFont="1" applyFill="1" applyBorder="1" applyAlignment="1">
      <alignment horizontal="right" vertical="center" wrapText="1"/>
    </xf>
    <xf numFmtId="0" fontId="23" fillId="10" borderId="11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0" fontId="27" fillId="0" borderId="0" xfId="3" applyBorder="1" applyAlignment="1">
      <alignment horizontal="center" vertical="center" wrapText="1"/>
    </xf>
    <xf numFmtId="2" fontId="25" fillId="0" borderId="3" xfId="0" applyNumberFormat="1" applyFont="1" applyBorder="1" applyAlignment="1">
      <alignment horizontal="center" vertical="center" wrapText="1"/>
    </xf>
    <xf numFmtId="2" fontId="25" fillId="0" borderId="8" xfId="0" applyNumberFormat="1" applyFont="1" applyBorder="1" applyAlignment="1">
      <alignment horizontal="center" vertical="center" wrapText="1"/>
    </xf>
    <xf numFmtId="2" fontId="22" fillId="0" borderId="13" xfId="0" applyNumberFormat="1" applyFont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 vertical="center"/>
    </xf>
    <xf numFmtId="2" fontId="22" fillId="0" borderId="13" xfId="2" applyNumberFormat="1" applyFont="1" applyBorder="1" applyAlignment="1">
      <alignment horizontal="center" vertical="center"/>
    </xf>
    <xf numFmtId="2" fontId="22" fillId="0" borderId="8" xfId="2" applyNumberFormat="1" applyFont="1" applyBorder="1" applyAlignment="1">
      <alignment horizontal="center" vertical="center"/>
    </xf>
    <xf numFmtId="8" fontId="22" fillId="0" borderId="8" xfId="0" applyNumberFormat="1" applyFont="1" applyBorder="1" applyAlignment="1">
      <alignment horizontal="right" vertical="center"/>
    </xf>
    <xf numFmtId="0" fontId="10" fillId="7" borderId="21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4" fontId="15" fillId="0" borderId="28" xfId="0" applyNumberFormat="1" applyFont="1" applyBorder="1" applyAlignment="1">
      <alignment horizontal="center" vertical="center" wrapText="1"/>
    </xf>
    <xf numFmtId="4" fontId="15" fillId="0" borderId="26" xfId="0" applyNumberFormat="1" applyFont="1" applyBorder="1" applyAlignment="1">
      <alignment horizontal="center" vertical="center" wrapText="1"/>
    </xf>
    <xf numFmtId="4" fontId="15" fillId="0" borderId="28" xfId="0" applyNumberFormat="1" applyFont="1" applyBorder="1" applyAlignment="1">
      <alignment horizontal="center" vertical="center"/>
    </xf>
    <xf numFmtId="4" fontId="15" fillId="0" borderId="26" xfId="0" applyNumberFormat="1" applyFont="1" applyBorder="1" applyAlignment="1">
      <alignment horizontal="center" vertical="center"/>
    </xf>
    <xf numFmtId="44" fontId="19" fillId="10" borderId="13" xfId="1" applyFont="1" applyFill="1" applyBorder="1" applyAlignment="1">
      <alignment horizontal="center" vertical="center"/>
    </xf>
    <xf numFmtId="44" fontId="19" fillId="10" borderId="8" xfId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10" borderId="8" xfId="1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2" fontId="25" fillId="0" borderId="13" xfId="0" applyNumberFormat="1" applyFont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2" fontId="10" fillId="0" borderId="19" xfId="0" applyNumberFormat="1" applyFont="1" applyBorder="1" applyAlignment="1">
      <alignment horizontal="center" wrapText="1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gcremades/Desktop/CALCULO%20RC%20nuevo.xlsx" TargetMode="External"/><Relationship Id="rId1" Type="http://schemas.openxmlformats.org/officeDocument/2006/relationships/hyperlink" Target="http://serviciopas.umh.es/files/2019/01/CALCULO-RC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gcremades/Desktop/CALCULO%20RC%20nuevo.xlsx" TargetMode="External"/><Relationship Id="rId1" Type="http://schemas.openxmlformats.org/officeDocument/2006/relationships/hyperlink" Target="http://serviciopas.umh.es/files/2019/01/CALCULO-RC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../../../gcremades/Desktop/CALCULO%20RC%20nuevo.xlsx" TargetMode="External"/><Relationship Id="rId1" Type="http://schemas.openxmlformats.org/officeDocument/2006/relationships/hyperlink" Target="http://serviciopas.umh.es/files/2019/01/CALCULO-RC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erviciopas.umh.es/files/2019/04/CALCULO-RC-nuevo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serviciopas.umh.es/files/2019/04/CALCULO-RC-nuevo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erviciopas.umh.es/files/2019/04/CALCULO-RC-nuevo.xls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B30" sqref="B30"/>
    </sheetView>
  </sheetViews>
  <sheetFormatPr baseColWidth="10" defaultColWidth="11.5703125" defaultRowHeight="14.25" x14ac:dyDescent="0.2"/>
  <cols>
    <col min="1" max="1" width="17.7109375" style="31" customWidth="1"/>
    <col min="2" max="2" width="16.5703125" style="31" bestFit="1" customWidth="1"/>
    <col min="3" max="3" width="15.42578125" style="62" hidden="1" customWidth="1"/>
    <col min="4" max="4" width="17.28515625" style="31" bestFit="1" customWidth="1"/>
    <col min="5" max="5" width="17" style="32" customWidth="1"/>
    <col min="6" max="6" width="16.42578125" style="32" bestFit="1" customWidth="1"/>
    <col min="7" max="7" width="15.5703125" style="31" bestFit="1" customWidth="1"/>
    <col min="8" max="8" width="11.5703125" style="32"/>
    <col min="9" max="9" width="21.7109375" style="32" customWidth="1"/>
    <col min="10" max="10" width="19.140625" style="32" customWidth="1"/>
    <col min="11" max="11" width="21.7109375" style="37" customWidth="1"/>
    <col min="12" max="12" width="19" style="32" customWidth="1"/>
    <col min="13" max="13" width="17.28515625" style="32" customWidth="1"/>
    <col min="14" max="16384" width="11.5703125" style="32"/>
  </cols>
  <sheetData>
    <row r="1" spans="1:13" ht="23.25" customHeight="1" x14ac:dyDescent="0.3">
      <c r="A1" s="58"/>
      <c r="B1" s="108" t="s">
        <v>29</v>
      </c>
      <c r="C1" s="108"/>
      <c r="D1" s="109"/>
      <c r="E1" s="59"/>
      <c r="F1" s="108" t="s">
        <v>30</v>
      </c>
      <c r="G1" s="108"/>
      <c r="K1" s="32"/>
    </row>
    <row r="2" spans="1:13" ht="41.45" customHeight="1" x14ac:dyDescent="0.2">
      <c r="A2" s="110" t="s">
        <v>0</v>
      </c>
      <c r="B2" s="112" t="s">
        <v>47</v>
      </c>
      <c r="C2" s="114" t="s">
        <v>41</v>
      </c>
      <c r="D2" s="116" t="s">
        <v>72</v>
      </c>
      <c r="E2" s="110" t="s">
        <v>0</v>
      </c>
      <c r="F2" s="112" t="s">
        <v>47</v>
      </c>
      <c r="G2" s="116" t="s">
        <v>72</v>
      </c>
      <c r="I2" s="118" t="s">
        <v>48</v>
      </c>
      <c r="J2" s="118"/>
      <c r="K2" s="118"/>
      <c r="L2" s="118" t="s">
        <v>49</v>
      </c>
      <c r="M2" s="118"/>
    </row>
    <row r="3" spans="1:13" s="38" customFormat="1" ht="23.25" thickBot="1" x14ac:dyDescent="0.25">
      <c r="A3" s="111"/>
      <c r="B3" s="113"/>
      <c r="C3" s="115"/>
      <c r="D3" s="117"/>
      <c r="E3" s="111"/>
      <c r="F3" s="113"/>
      <c r="G3" s="117"/>
      <c r="I3" s="63" t="s">
        <v>50</v>
      </c>
      <c r="J3" s="63" t="s">
        <v>51</v>
      </c>
      <c r="K3" s="63" t="s">
        <v>52</v>
      </c>
      <c r="L3" s="64" t="s">
        <v>53</v>
      </c>
      <c r="M3" s="63" t="s">
        <v>54</v>
      </c>
    </row>
    <row r="4" spans="1:13" x14ac:dyDescent="0.2">
      <c r="A4" s="39">
        <v>40</v>
      </c>
      <c r="B4" s="33">
        <f>PARAMETROS!B2</f>
        <v>1298.1383333333333</v>
      </c>
      <c r="C4" s="60"/>
      <c r="D4" s="90"/>
      <c r="E4" s="39">
        <v>40</v>
      </c>
      <c r="F4" s="33">
        <f>PARAMETROS!C2</f>
        <v>3566.2745125000001</v>
      </c>
      <c r="G4" s="91">
        <f>IF(F4&gt;=$K$4,K4*$K$18%,F4*$K$18%)</f>
        <v>1119.8101969250001</v>
      </c>
      <c r="I4" s="119">
        <v>1</v>
      </c>
      <c r="J4" s="120">
        <v>1466.4</v>
      </c>
      <c r="K4" s="120">
        <v>4070.1</v>
      </c>
      <c r="L4" s="121">
        <v>1050</v>
      </c>
      <c r="M4" s="121">
        <v>4070.1</v>
      </c>
    </row>
    <row r="5" spans="1:13" x14ac:dyDescent="0.2">
      <c r="A5" s="39">
        <v>39</v>
      </c>
      <c r="B5" s="33">
        <f>PRODUCT(B$4,A5)/A$4</f>
        <v>1265.6848749999999</v>
      </c>
      <c r="C5" s="60">
        <f>(A5/$A$4*7.5*5)/7*30*$C$46</f>
        <v>1383.6294642857142</v>
      </c>
      <c r="D5" s="90">
        <f>IF(B5&lt;C5,C5*$K$18%,B5*$K$18%)</f>
        <v>434.45965178571424</v>
      </c>
      <c r="E5" s="39">
        <v>39</v>
      </c>
      <c r="F5" s="33">
        <f>PRODUCT(F$4,E5)/E$4</f>
        <v>3477.1176496875</v>
      </c>
      <c r="G5" s="91">
        <f t="shared" ref="G5:G43" si="0">IF(F5&gt;=$K$4,K5*$K$18%,F5*$K$18%)</f>
        <v>1091.8149420018751</v>
      </c>
      <c r="I5" s="119"/>
      <c r="J5" s="120"/>
      <c r="K5" s="120"/>
      <c r="L5" s="121"/>
      <c r="M5" s="121"/>
    </row>
    <row r="6" spans="1:13" x14ac:dyDescent="0.2">
      <c r="A6" s="39">
        <v>38</v>
      </c>
      <c r="B6" s="33">
        <f>PRODUCT(B$4,A6)/A$4</f>
        <v>1233.2314166666667</v>
      </c>
      <c r="C6" s="60">
        <f t="shared" ref="C6:C43" si="1">(A6/$A$4*7.5*5)/7*30*$C$46</f>
        <v>1348.1517857142858</v>
      </c>
      <c r="D6" s="90">
        <f t="shared" ref="D6:D43" si="2">IF(B6&lt;C6,C6*$K$18%,B6*$K$18%)</f>
        <v>423.31966071428576</v>
      </c>
      <c r="E6" s="39">
        <v>38</v>
      </c>
      <c r="F6" s="33">
        <f>PRODUCT(F$4,E6)/E$4</f>
        <v>3387.9607868749999</v>
      </c>
      <c r="G6" s="91">
        <f t="shared" si="0"/>
        <v>1063.8196870787499</v>
      </c>
      <c r="I6" s="65"/>
      <c r="J6" s="66"/>
      <c r="K6" s="66"/>
      <c r="L6" s="67"/>
      <c r="M6" s="66"/>
    </row>
    <row r="7" spans="1:13" ht="15" thickBot="1" x14ac:dyDescent="0.25">
      <c r="A7" s="39">
        <v>37</v>
      </c>
      <c r="B7" s="33">
        <f t="shared" ref="B7:B43" si="3">PRODUCT(B$4,A7)/A$4</f>
        <v>1200.7779583333333</v>
      </c>
      <c r="C7" s="60">
        <f t="shared" si="1"/>
        <v>1312.6741071428573</v>
      </c>
      <c r="D7" s="90">
        <f t="shared" si="2"/>
        <v>412.17966964285722</v>
      </c>
      <c r="E7" s="39">
        <v>37</v>
      </c>
      <c r="F7" s="33">
        <f t="shared" ref="F7:F43" si="4">PRODUCT(F$4,E7)/E$4</f>
        <v>3298.8039240625003</v>
      </c>
      <c r="G7" s="91">
        <f t="shared" si="0"/>
        <v>1035.8244321556251</v>
      </c>
      <c r="I7" s="65"/>
      <c r="J7" s="68"/>
      <c r="K7" s="66"/>
      <c r="L7" s="67"/>
      <c r="M7" s="66"/>
    </row>
    <row r="8" spans="1:13" x14ac:dyDescent="0.2">
      <c r="A8" s="39">
        <v>36</v>
      </c>
      <c r="B8" s="33">
        <f t="shared" si="3"/>
        <v>1168.3244999999999</v>
      </c>
      <c r="C8" s="60">
        <f t="shared" si="1"/>
        <v>1277.1964285714284</v>
      </c>
      <c r="D8" s="90">
        <f t="shared" si="2"/>
        <v>401.03967857142851</v>
      </c>
      <c r="E8" s="39">
        <v>36</v>
      </c>
      <c r="F8" s="33">
        <f t="shared" si="4"/>
        <v>3209.6470612500002</v>
      </c>
      <c r="G8" s="91">
        <f t="shared" si="0"/>
        <v>1007.8291772325001</v>
      </c>
      <c r="I8" s="122" t="s">
        <v>55</v>
      </c>
      <c r="J8" s="122"/>
      <c r="K8" s="123"/>
      <c r="L8" s="124">
        <v>0</v>
      </c>
      <c r="M8" s="66"/>
    </row>
    <row r="9" spans="1:13" ht="15" thickBot="1" x14ac:dyDescent="0.25">
      <c r="A9" s="39">
        <v>35</v>
      </c>
      <c r="B9" s="33">
        <f t="shared" si="3"/>
        <v>1135.8710416666668</v>
      </c>
      <c r="C9" s="60">
        <f t="shared" si="1"/>
        <v>1241.71875</v>
      </c>
      <c r="D9" s="90">
        <f t="shared" si="2"/>
        <v>389.89968750000003</v>
      </c>
      <c r="E9" s="39">
        <v>35</v>
      </c>
      <c r="F9" s="33">
        <f t="shared" si="4"/>
        <v>3120.4901984375001</v>
      </c>
      <c r="G9" s="91">
        <f t="shared" si="0"/>
        <v>979.833922309375</v>
      </c>
      <c r="I9" s="122"/>
      <c r="J9" s="122"/>
      <c r="K9" s="123"/>
      <c r="L9" s="125"/>
      <c r="M9" s="66"/>
    </row>
    <row r="10" spans="1:13" ht="15" thickBot="1" x14ac:dyDescent="0.25">
      <c r="A10" s="39">
        <v>34</v>
      </c>
      <c r="B10" s="33">
        <f t="shared" si="3"/>
        <v>1103.4175833333334</v>
      </c>
      <c r="C10" s="60">
        <f t="shared" si="1"/>
        <v>1206.2410714285716</v>
      </c>
      <c r="D10" s="90">
        <f t="shared" si="2"/>
        <v>378.75969642857149</v>
      </c>
      <c r="E10" s="39">
        <v>34</v>
      </c>
      <c r="F10" s="33">
        <f t="shared" si="4"/>
        <v>3031.333335625</v>
      </c>
      <c r="G10" s="91">
        <f t="shared" si="0"/>
        <v>951.83866738624999</v>
      </c>
      <c r="I10" s="69"/>
      <c r="J10" s="70"/>
      <c r="K10" s="71"/>
      <c r="L10" s="72"/>
      <c r="M10" s="66"/>
    </row>
    <row r="11" spans="1:13" x14ac:dyDescent="0.2">
      <c r="A11" s="39">
        <v>33</v>
      </c>
      <c r="B11" s="33">
        <f t="shared" si="3"/>
        <v>1070.964125</v>
      </c>
      <c r="C11" s="60">
        <f t="shared" si="1"/>
        <v>1170.7633928571427</v>
      </c>
      <c r="D11" s="90">
        <f t="shared" si="2"/>
        <v>367.61970535714278</v>
      </c>
      <c r="E11" s="39">
        <v>33</v>
      </c>
      <c r="F11" s="33">
        <f t="shared" si="4"/>
        <v>2942.1764728125004</v>
      </c>
      <c r="G11" s="91">
        <f t="shared" si="0"/>
        <v>923.84341246312511</v>
      </c>
      <c r="I11" s="126" t="s">
        <v>56</v>
      </c>
      <c r="J11" s="127"/>
      <c r="K11" s="127"/>
      <c r="L11" s="128"/>
      <c r="M11" s="66"/>
    </row>
    <row r="12" spans="1:13" ht="15" thickBot="1" x14ac:dyDescent="0.25">
      <c r="A12" s="39">
        <v>32</v>
      </c>
      <c r="B12" s="33">
        <f t="shared" si="3"/>
        <v>1038.5106666666666</v>
      </c>
      <c r="C12" s="60">
        <f t="shared" si="1"/>
        <v>1135.2857142857142</v>
      </c>
      <c r="D12" s="90">
        <f t="shared" si="2"/>
        <v>356.47971428571429</v>
      </c>
      <c r="E12" s="39">
        <v>32</v>
      </c>
      <c r="F12" s="33">
        <f t="shared" si="4"/>
        <v>2853.0196100000003</v>
      </c>
      <c r="G12" s="91">
        <f t="shared" si="0"/>
        <v>895.8481575400001</v>
      </c>
      <c r="I12" s="129"/>
      <c r="J12" s="130"/>
      <c r="K12" s="130"/>
      <c r="L12" s="131"/>
      <c r="M12" s="66"/>
    </row>
    <row r="13" spans="1:13" ht="15" thickBot="1" x14ac:dyDescent="0.25">
      <c r="A13" s="39">
        <v>31</v>
      </c>
      <c r="B13" s="33">
        <f t="shared" si="3"/>
        <v>1006.0572083333333</v>
      </c>
      <c r="C13" s="60">
        <f t="shared" si="1"/>
        <v>1099.8080357142858</v>
      </c>
      <c r="D13" s="90">
        <f t="shared" si="2"/>
        <v>345.33972321428575</v>
      </c>
      <c r="E13" s="39">
        <v>31</v>
      </c>
      <c r="F13" s="33">
        <f t="shared" si="4"/>
        <v>2763.8627471874997</v>
      </c>
      <c r="G13" s="91">
        <f t="shared" si="0"/>
        <v>867.85290261687487</v>
      </c>
      <c r="I13" s="73"/>
      <c r="J13" s="74" t="s">
        <v>57</v>
      </c>
      <c r="K13" s="75" t="s">
        <v>58</v>
      </c>
      <c r="L13" s="76" t="s">
        <v>59</v>
      </c>
      <c r="M13" s="66"/>
    </row>
    <row r="14" spans="1:13" x14ac:dyDescent="0.2">
      <c r="A14" s="39">
        <v>30</v>
      </c>
      <c r="B14" s="33">
        <f t="shared" si="3"/>
        <v>973.60374999999999</v>
      </c>
      <c r="C14" s="60">
        <f t="shared" si="1"/>
        <v>1064.3303571428571</v>
      </c>
      <c r="D14" s="90">
        <f t="shared" si="2"/>
        <v>334.19973214285716</v>
      </c>
      <c r="E14" s="39">
        <v>30</v>
      </c>
      <c r="F14" s="33">
        <f t="shared" si="4"/>
        <v>2674.7058843750001</v>
      </c>
      <c r="G14" s="91">
        <f t="shared" si="0"/>
        <v>839.85764769374998</v>
      </c>
      <c r="I14" s="132" t="s">
        <v>60</v>
      </c>
      <c r="J14" s="134">
        <f>IF(L8&gt;=J4,L8,J4)</f>
        <v>1466.4</v>
      </c>
      <c r="K14" s="136">
        <v>23.6</v>
      </c>
      <c r="L14" s="138">
        <f>J14*K14%</f>
        <v>346.07040000000006</v>
      </c>
      <c r="M14" s="66"/>
    </row>
    <row r="15" spans="1:13" ht="15" thickBot="1" x14ac:dyDescent="0.25">
      <c r="A15" s="39">
        <v>29</v>
      </c>
      <c r="B15" s="33">
        <f t="shared" si="3"/>
        <v>941.15029166666659</v>
      </c>
      <c r="C15" s="60">
        <f t="shared" si="1"/>
        <v>1028.8526785714287</v>
      </c>
      <c r="D15" s="90">
        <f t="shared" si="2"/>
        <v>323.05974107142862</v>
      </c>
      <c r="E15" s="39">
        <v>29</v>
      </c>
      <c r="F15" s="33">
        <f t="shared" si="4"/>
        <v>2585.5490215625005</v>
      </c>
      <c r="G15" s="91">
        <f t="shared" si="0"/>
        <v>811.86239277062509</v>
      </c>
      <c r="I15" s="133"/>
      <c r="J15" s="135"/>
      <c r="K15" s="137"/>
      <c r="L15" s="139"/>
      <c r="M15" s="66"/>
    </row>
    <row r="16" spans="1:13" x14ac:dyDescent="0.2">
      <c r="A16" s="39">
        <v>28</v>
      </c>
      <c r="B16" s="33">
        <f t="shared" si="3"/>
        <v>908.69683333333342</v>
      </c>
      <c r="C16" s="60">
        <f t="shared" si="1"/>
        <v>993.375</v>
      </c>
      <c r="D16" s="90">
        <f t="shared" si="2"/>
        <v>311.91975000000002</v>
      </c>
      <c r="E16" s="39">
        <v>28</v>
      </c>
      <c r="F16" s="33">
        <f t="shared" si="4"/>
        <v>2496.3921587499999</v>
      </c>
      <c r="G16" s="91">
        <f t="shared" si="0"/>
        <v>783.86713784749998</v>
      </c>
      <c r="I16" s="140" t="s">
        <v>61</v>
      </c>
      <c r="J16" s="134">
        <f>IF(L8&gt;=L4,L8,L4)</f>
        <v>1050</v>
      </c>
      <c r="K16" s="136">
        <v>7.8</v>
      </c>
      <c r="L16" s="142">
        <f>J16*K16%</f>
        <v>81.900000000000006</v>
      </c>
      <c r="M16" s="66"/>
    </row>
    <row r="17" spans="1:13" ht="15" thickBot="1" x14ac:dyDescent="0.25">
      <c r="A17" s="39">
        <v>27</v>
      </c>
      <c r="B17" s="33">
        <f t="shared" si="3"/>
        <v>876.24337500000001</v>
      </c>
      <c r="C17" s="60">
        <f t="shared" si="1"/>
        <v>957.89732142857133</v>
      </c>
      <c r="D17" s="90">
        <f t="shared" si="2"/>
        <v>300.77975892857143</v>
      </c>
      <c r="E17" s="39">
        <v>27</v>
      </c>
      <c r="F17" s="33">
        <f t="shared" si="4"/>
        <v>2407.2352959374998</v>
      </c>
      <c r="G17" s="91">
        <f t="shared" si="0"/>
        <v>755.87188292437497</v>
      </c>
      <c r="I17" s="141"/>
      <c r="J17" s="135"/>
      <c r="K17" s="137">
        <v>0.2</v>
      </c>
      <c r="L17" s="143"/>
      <c r="M17" s="66"/>
    </row>
    <row r="18" spans="1:13" ht="15" thickBot="1" x14ac:dyDescent="0.25">
      <c r="A18" s="39">
        <v>26</v>
      </c>
      <c r="B18" s="33">
        <f t="shared" si="3"/>
        <v>843.78991666666661</v>
      </c>
      <c r="C18" s="60">
        <f t="shared" si="1"/>
        <v>922.41964285714289</v>
      </c>
      <c r="D18" s="90">
        <f t="shared" si="2"/>
        <v>289.63976785714289</v>
      </c>
      <c r="E18" s="39">
        <v>26</v>
      </c>
      <c r="F18" s="33">
        <f t="shared" si="4"/>
        <v>2318.0784331250002</v>
      </c>
      <c r="G18" s="91">
        <f t="shared" si="0"/>
        <v>727.87662800125008</v>
      </c>
      <c r="I18" s="144" t="s">
        <v>62</v>
      </c>
      <c r="J18" s="145"/>
      <c r="K18" s="77">
        <f>(K14+K16)</f>
        <v>31.400000000000002</v>
      </c>
      <c r="L18" s="78">
        <f>SUM(L14:L17)</f>
        <v>427.97040000000004</v>
      </c>
      <c r="M18" s="66"/>
    </row>
    <row r="19" spans="1:13" x14ac:dyDescent="0.2">
      <c r="A19" s="39">
        <v>25</v>
      </c>
      <c r="B19" s="33">
        <f t="shared" si="3"/>
        <v>811.33645833333333</v>
      </c>
      <c r="C19" s="60">
        <f t="shared" si="1"/>
        <v>886.94196428571422</v>
      </c>
      <c r="D19" s="90">
        <f t="shared" si="2"/>
        <v>278.49977678571429</v>
      </c>
      <c r="E19" s="39">
        <v>25</v>
      </c>
      <c r="F19" s="33">
        <f t="shared" si="4"/>
        <v>2228.9215703125001</v>
      </c>
      <c r="G19" s="91">
        <f t="shared" si="0"/>
        <v>699.88137307812508</v>
      </c>
      <c r="I19" s="79"/>
      <c r="J19" s="80"/>
      <c r="K19" s="81"/>
      <c r="L19" s="82"/>
      <c r="M19" s="66"/>
    </row>
    <row r="20" spans="1:13" x14ac:dyDescent="0.2">
      <c r="A20" s="39">
        <v>24</v>
      </c>
      <c r="B20" s="33">
        <f t="shared" si="3"/>
        <v>778.88300000000004</v>
      </c>
      <c r="C20" s="60">
        <f t="shared" si="1"/>
        <v>851.46428571428578</v>
      </c>
      <c r="D20" s="90">
        <f t="shared" si="2"/>
        <v>267.35978571428575</v>
      </c>
      <c r="E20" s="39">
        <v>24</v>
      </c>
      <c r="F20" s="33">
        <f t="shared" si="4"/>
        <v>2139.7647075</v>
      </c>
      <c r="G20" s="91">
        <f t="shared" si="0"/>
        <v>671.88611815499996</v>
      </c>
      <c r="I20" s="146" t="s">
        <v>63</v>
      </c>
      <c r="J20" s="146"/>
      <c r="K20" s="146"/>
      <c r="L20" s="146"/>
      <c r="M20" s="146"/>
    </row>
    <row r="21" spans="1:13" x14ac:dyDescent="0.2">
      <c r="A21" s="39">
        <v>23</v>
      </c>
      <c r="B21" s="33">
        <f t="shared" si="3"/>
        <v>746.42954166666664</v>
      </c>
      <c r="C21" s="60">
        <f t="shared" si="1"/>
        <v>815.98660714285711</v>
      </c>
      <c r="D21" s="90">
        <f t="shared" si="2"/>
        <v>256.21979464285715</v>
      </c>
      <c r="E21" s="39">
        <v>23</v>
      </c>
      <c r="F21" s="33">
        <f t="shared" si="4"/>
        <v>2050.6078446874999</v>
      </c>
      <c r="G21" s="91">
        <f t="shared" si="0"/>
        <v>643.89086323187496</v>
      </c>
      <c r="I21" s="146"/>
      <c r="J21" s="146"/>
      <c r="K21" s="146"/>
      <c r="L21" s="146"/>
      <c r="M21" s="146"/>
    </row>
    <row r="22" spans="1:13" ht="15" thickBot="1" x14ac:dyDescent="0.25">
      <c r="A22" s="39">
        <v>22</v>
      </c>
      <c r="B22" s="33">
        <f t="shared" si="3"/>
        <v>713.97608333333335</v>
      </c>
      <c r="C22" s="60">
        <f t="shared" si="1"/>
        <v>780.50892857142867</v>
      </c>
      <c r="D22" s="90">
        <f t="shared" si="2"/>
        <v>245.07980357142861</v>
      </c>
      <c r="E22" s="39">
        <v>22</v>
      </c>
      <c r="F22" s="33">
        <f t="shared" si="4"/>
        <v>1961.450981875</v>
      </c>
      <c r="G22" s="91">
        <f t="shared" si="0"/>
        <v>615.89560830874996</v>
      </c>
      <c r="I22" s="65"/>
      <c r="J22" s="68"/>
      <c r="K22" s="66"/>
      <c r="L22" s="67"/>
      <c r="M22" s="66"/>
    </row>
    <row r="23" spans="1:13" x14ac:dyDescent="0.2">
      <c r="A23" s="39">
        <v>21</v>
      </c>
      <c r="B23" s="33">
        <f t="shared" si="3"/>
        <v>681.52262499999995</v>
      </c>
      <c r="C23" s="60">
        <f t="shared" si="1"/>
        <v>745.03125</v>
      </c>
      <c r="D23" s="90">
        <f t="shared" si="2"/>
        <v>233.93981249999999</v>
      </c>
      <c r="E23" s="39">
        <v>21</v>
      </c>
      <c r="F23" s="33">
        <f t="shared" si="4"/>
        <v>1872.2941190625002</v>
      </c>
      <c r="G23" s="91">
        <f t="shared" si="0"/>
        <v>587.90035338562507</v>
      </c>
      <c r="I23" s="122" t="s">
        <v>64</v>
      </c>
      <c r="J23" s="122"/>
      <c r="K23" s="123"/>
      <c r="L23" s="147">
        <v>0</v>
      </c>
      <c r="M23" s="66"/>
    </row>
    <row r="24" spans="1:13" ht="15" thickBot="1" x14ac:dyDescent="0.25">
      <c r="A24" s="39">
        <v>20</v>
      </c>
      <c r="B24" s="33">
        <f t="shared" si="3"/>
        <v>649.06916666666666</v>
      </c>
      <c r="C24" s="60">
        <f t="shared" si="1"/>
        <v>709.55357142857133</v>
      </c>
      <c r="D24" s="90">
        <f t="shared" si="2"/>
        <v>222.79982142857139</v>
      </c>
      <c r="E24" s="39">
        <v>20</v>
      </c>
      <c r="F24" s="33">
        <f t="shared" si="4"/>
        <v>1783.1372562500001</v>
      </c>
      <c r="G24" s="91">
        <f t="shared" si="0"/>
        <v>559.90509846250006</v>
      </c>
      <c r="I24" s="122"/>
      <c r="J24" s="122"/>
      <c r="K24" s="123"/>
      <c r="L24" s="148"/>
      <c r="M24" s="66"/>
    </row>
    <row r="25" spans="1:13" ht="15" thickBot="1" x14ac:dyDescent="0.25">
      <c r="A25" s="39">
        <v>19</v>
      </c>
      <c r="B25" s="33">
        <f t="shared" si="3"/>
        <v>616.61570833333337</v>
      </c>
      <c r="C25" s="60">
        <f t="shared" si="1"/>
        <v>674.07589285714289</v>
      </c>
      <c r="D25" s="90">
        <f t="shared" si="2"/>
        <v>211.65983035714288</v>
      </c>
      <c r="E25" s="39">
        <v>19</v>
      </c>
      <c r="F25" s="33">
        <f t="shared" si="4"/>
        <v>1693.9803934375</v>
      </c>
      <c r="G25" s="91">
        <f t="shared" si="0"/>
        <v>531.90984353937495</v>
      </c>
      <c r="I25" s="65"/>
      <c r="J25" s="68"/>
      <c r="K25" s="66"/>
      <c r="L25" s="67"/>
      <c r="M25" s="66"/>
    </row>
    <row r="26" spans="1:13" x14ac:dyDescent="0.2">
      <c r="A26" s="39">
        <v>18</v>
      </c>
      <c r="B26" s="33">
        <f t="shared" si="3"/>
        <v>584.16224999999997</v>
      </c>
      <c r="C26" s="60">
        <f t="shared" si="1"/>
        <v>638.59821428571422</v>
      </c>
      <c r="D26" s="90">
        <f t="shared" si="2"/>
        <v>200.51983928571426</v>
      </c>
      <c r="E26" s="39">
        <v>18</v>
      </c>
      <c r="F26" s="33">
        <f t="shared" si="4"/>
        <v>1604.8235306250001</v>
      </c>
      <c r="G26" s="91">
        <f t="shared" si="0"/>
        <v>503.91458861625006</v>
      </c>
      <c r="I26" s="122" t="s">
        <v>65</v>
      </c>
      <c r="J26" s="122"/>
      <c r="K26" s="123"/>
      <c r="L26" s="124">
        <v>0</v>
      </c>
      <c r="M26" s="66"/>
    </row>
    <row r="27" spans="1:13" ht="15" thickBot="1" x14ac:dyDescent="0.25">
      <c r="A27" s="39">
        <v>17</v>
      </c>
      <c r="B27" s="33">
        <f t="shared" si="3"/>
        <v>551.70879166666668</v>
      </c>
      <c r="C27" s="60">
        <f t="shared" si="1"/>
        <v>603.12053571428578</v>
      </c>
      <c r="D27" s="90">
        <f t="shared" si="2"/>
        <v>189.37984821428574</v>
      </c>
      <c r="E27" s="39">
        <v>17</v>
      </c>
      <c r="F27" s="33">
        <f t="shared" si="4"/>
        <v>1515.6666678125</v>
      </c>
      <c r="G27" s="91">
        <f t="shared" si="0"/>
        <v>475.919333693125</v>
      </c>
      <c r="I27" s="122"/>
      <c r="J27" s="122"/>
      <c r="K27" s="123"/>
      <c r="L27" s="125"/>
      <c r="M27" s="66"/>
    </row>
    <row r="28" spans="1:13" ht="15" thickBot="1" x14ac:dyDescent="0.25">
      <c r="A28" s="39">
        <v>16</v>
      </c>
      <c r="B28" s="33">
        <f t="shared" si="3"/>
        <v>519.25533333333328</v>
      </c>
      <c r="C28" s="60">
        <f t="shared" si="1"/>
        <v>567.64285714285711</v>
      </c>
      <c r="D28" s="90">
        <f t="shared" si="2"/>
        <v>178.23985714285715</v>
      </c>
      <c r="E28" s="39">
        <v>16</v>
      </c>
      <c r="F28" s="33">
        <f t="shared" si="4"/>
        <v>1426.5098050000001</v>
      </c>
      <c r="G28" s="91">
        <f t="shared" si="0"/>
        <v>447.92407877000005</v>
      </c>
      <c r="I28" s="65"/>
      <c r="J28" s="68"/>
      <c r="K28" s="66"/>
      <c r="L28" s="67"/>
      <c r="M28" s="66"/>
    </row>
    <row r="29" spans="1:13" x14ac:dyDescent="0.2">
      <c r="A29" s="39">
        <v>15</v>
      </c>
      <c r="B29" s="33">
        <f t="shared" si="3"/>
        <v>486.801875</v>
      </c>
      <c r="C29" s="60">
        <f t="shared" si="1"/>
        <v>532.16517857142856</v>
      </c>
      <c r="D29" s="90">
        <f t="shared" si="2"/>
        <v>167.09986607142858</v>
      </c>
      <c r="E29" s="39">
        <v>15</v>
      </c>
      <c r="F29" s="33">
        <f t="shared" si="4"/>
        <v>1337.3529421875</v>
      </c>
      <c r="G29" s="91">
        <f t="shared" si="0"/>
        <v>419.92882384687499</v>
      </c>
      <c r="I29" s="126" t="s">
        <v>66</v>
      </c>
      <c r="J29" s="127"/>
      <c r="K29" s="127"/>
      <c r="L29" s="128"/>
      <c r="M29" s="66"/>
    </row>
    <row r="30" spans="1:13" ht="15" thickBot="1" x14ac:dyDescent="0.25">
      <c r="A30" s="39">
        <v>14</v>
      </c>
      <c r="B30" s="33">
        <f t="shared" si="3"/>
        <v>454.34841666666671</v>
      </c>
      <c r="C30" s="60">
        <f t="shared" si="1"/>
        <v>496.6875</v>
      </c>
      <c r="D30" s="90">
        <f t="shared" si="2"/>
        <v>155.95987500000001</v>
      </c>
      <c r="E30" s="39">
        <v>14</v>
      </c>
      <c r="F30" s="33">
        <f t="shared" si="4"/>
        <v>1248.196079375</v>
      </c>
      <c r="G30" s="91">
        <f t="shared" si="0"/>
        <v>391.93356892374999</v>
      </c>
      <c r="I30" s="129"/>
      <c r="J30" s="130"/>
      <c r="K30" s="130"/>
      <c r="L30" s="131"/>
      <c r="M30" s="66"/>
    </row>
    <row r="31" spans="1:13" ht="15" thickBot="1" x14ac:dyDescent="0.25">
      <c r="A31" s="39">
        <v>13</v>
      </c>
      <c r="B31" s="33">
        <f t="shared" si="3"/>
        <v>421.89495833333331</v>
      </c>
      <c r="C31" s="60">
        <f t="shared" si="1"/>
        <v>461.20982142857144</v>
      </c>
      <c r="D31" s="90">
        <f t="shared" si="2"/>
        <v>144.81988392857144</v>
      </c>
      <c r="E31" s="39">
        <v>13</v>
      </c>
      <c r="F31" s="33">
        <f t="shared" si="4"/>
        <v>1159.0392165625001</v>
      </c>
      <c r="G31" s="91">
        <f t="shared" si="0"/>
        <v>363.93831400062504</v>
      </c>
      <c r="I31" s="83" t="s">
        <v>67</v>
      </c>
      <c r="J31" s="84" t="s">
        <v>57</v>
      </c>
      <c r="K31" s="75" t="s">
        <v>68</v>
      </c>
      <c r="L31" s="76" t="s">
        <v>59</v>
      </c>
      <c r="M31" s="66"/>
    </row>
    <row r="32" spans="1:13" x14ac:dyDescent="0.2">
      <c r="A32" s="39">
        <v>12</v>
      </c>
      <c r="B32" s="33">
        <f t="shared" si="3"/>
        <v>389.44150000000002</v>
      </c>
      <c r="C32" s="60">
        <f t="shared" si="1"/>
        <v>425.73214285714289</v>
      </c>
      <c r="D32" s="90">
        <f t="shared" si="2"/>
        <v>133.67989285714287</v>
      </c>
      <c r="E32" s="39">
        <v>12</v>
      </c>
      <c r="F32" s="33">
        <f t="shared" si="4"/>
        <v>1069.88235375</v>
      </c>
      <c r="G32" s="91">
        <f t="shared" si="0"/>
        <v>335.94305907749998</v>
      </c>
      <c r="I32" s="154">
        <f>((L23/40*7.5*5)/7)*30*$C$46</f>
        <v>0</v>
      </c>
      <c r="J32" s="156">
        <f>IF(L26&lt;I32,I32,L26)</f>
        <v>0</v>
      </c>
      <c r="K32" s="158">
        <v>31.4</v>
      </c>
      <c r="L32" s="142">
        <f>J32*K32%</f>
        <v>0</v>
      </c>
      <c r="M32" s="66"/>
    </row>
    <row r="33" spans="1:13" ht="15" thickBot="1" x14ac:dyDescent="0.25">
      <c r="A33" s="39">
        <v>11</v>
      </c>
      <c r="B33" s="33">
        <f t="shared" si="3"/>
        <v>356.98804166666667</v>
      </c>
      <c r="C33" s="60">
        <f t="shared" si="1"/>
        <v>390.25446428571433</v>
      </c>
      <c r="D33" s="90">
        <f t="shared" si="2"/>
        <v>122.53990178571431</v>
      </c>
      <c r="E33" s="39">
        <v>11</v>
      </c>
      <c r="F33" s="33">
        <f t="shared" si="4"/>
        <v>980.72549093750001</v>
      </c>
      <c r="G33" s="91">
        <f t="shared" si="0"/>
        <v>307.94780415437498</v>
      </c>
      <c r="I33" s="155"/>
      <c r="J33" s="157"/>
      <c r="K33" s="159"/>
      <c r="L33" s="160"/>
      <c r="M33" s="66"/>
    </row>
    <row r="34" spans="1:13" ht="15" thickBot="1" x14ac:dyDescent="0.25">
      <c r="A34" s="39">
        <v>10</v>
      </c>
      <c r="B34" s="33">
        <f t="shared" si="3"/>
        <v>324.53458333333333</v>
      </c>
      <c r="C34" s="60">
        <f t="shared" si="1"/>
        <v>354.77678571428567</v>
      </c>
      <c r="D34" s="90">
        <f t="shared" si="2"/>
        <v>111.3999107142857</v>
      </c>
      <c r="E34" s="39">
        <v>10</v>
      </c>
      <c r="F34" s="33">
        <f t="shared" si="4"/>
        <v>891.56862812500003</v>
      </c>
      <c r="G34" s="91">
        <f t="shared" si="0"/>
        <v>279.95254923125003</v>
      </c>
      <c r="I34" s="149" t="s">
        <v>69</v>
      </c>
      <c r="J34" s="150"/>
      <c r="K34" s="151"/>
      <c r="L34" s="78">
        <f>SUM(L32)</f>
        <v>0</v>
      </c>
      <c r="M34" s="66"/>
    </row>
    <row r="35" spans="1:13" x14ac:dyDescent="0.2">
      <c r="A35" s="39">
        <v>9</v>
      </c>
      <c r="B35" s="33">
        <f t="shared" si="3"/>
        <v>292.08112499999999</v>
      </c>
      <c r="C35" s="60">
        <f t="shared" si="1"/>
        <v>319.29910714285711</v>
      </c>
      <c r="D35" s="90">
        <f t="shared" si="2"/>
        <v>100.25991964285713</v>
      </c>
      <c r="E35" s="39">
        <v>9</v>
      </c>
      <c r="F35" s="33">
        <f t="shared" si="4"/>
        <v>802.41176531250005</v>
      </c>
      <c r="G35" s="91">
        <f t="shared" si="0"/>
        <v>251.95729430812503</v>
      </c>
      <c r="I35" s="65"/>
      <c r="J35" s="68"/>
      <c r="K35" s="66"/>
      <c r="L35" s="67"/>
      <c r="M35" s="66"/>
    </row>
    <row r="36" spans="1:13" x14ac:dyDescent="0.2">
      <c r="A36" s="39">
        <v>8</v>
      </c>
      <c r="B36" s="33">
        <f t="shared" si="3"/>
        <v>259.62766666666664</v>
      </c>
      <c r="C36" s="60">
        <f t="shared" si="1"/>
        <v>283.82142857142856</v>
      </c>
      <c r="D36" s="90">
        <f t="shared" si="2"/>
        <v>89.119928571428574</v>
      </c>
      <c r="E36" s="39">
        <v>8</v>
      </c>
      <c r="F36" s="33">
        <f t="shared" si="4"/>
        <v>713.25490250000007</v>
      </c>
      <c r="G36" s="91">
        <f t="shared" si="0"/>
        <v>223.96203938500003</v>
      </c>
      <c r="I36" s="152" t="s">
        <v>70</v>
      </c>
      <c r="J36" s="152"/>
      <c r="K36" s="152"/>
      <c r="L36" s="152"/>
      <c r="M36" s="153" t="s">
        <v>71</v>
      </c>
    </row>
    <row r="37" spans="1:13" x14ac:dyDescent="0.2">
      <c r="A37" s="39">
        <v>7</v>
      </c>
      <c r="B37" s="33">
        <f t="shared" si="3"/>
        <v>227.17420833333335</v>
      </c>
      <c r="C37" s="60">
        <f t="shared" si="1"/>
        <v>248.34375</v>
      </c>
      <c r="D37" s="90">
        <f t="shared" si="2"/>
        <v>77.979937500000005</v>
      </c>
      <c r="E37" s="39">
        <v>7</v>
      </c>
      <c r="F37" s="33">
        <f t="shared" si="4"/>
        <v>624.09803968749998</v>
      </c>
      <c r="G37" s="91">
        <f t="shared" si="0"/>
        <v>195.96678446187499</v>
      </c>
      <c r="I37" s="152"/>
      <c r="J37" s="152"/>
      <c r="K37" s="152"/>
      <c r="L37" s="152"/>
      <c r="M37" s="153"/>
    </row>
    <row r="38" spans="1:13" x14ac:dyDescent="0.2">
      <c r="A38" s="39">
        <v>6</v>
      </c>
      <c r="B38" s="33">
        <f t="shared" si="3"/>
        <v>194.72075000000001</v>
      </c>
      <c r="C38" s="60">
        <f t="shared" si="1"/>
        <v>212.86607142857144</v>
      </c>
      <c r="D38" s="90">
        <f t="shared" si="2"/>
        <v>66.839946428571437</v>
      </c>
      <c r="E38" s="39">
        <v>6</v>
      </c>
      <c r="F38" s="33">
        <f t="shared" si="4"/>
        <v>534.941176875</v>
      </c>
      <c r="G38" s="91">
        <f t="shared" si="0"/>
        <v>167.97152953874999</v>
      </c>
      <c r="K38" s="32"/>
    </row>
    <row r="39" spans="1:13" x14ac:dyDescent="0.2">
      <c r="A39" s="39">
        <v>5</v>
      </c>
      <c r="B39" s="33">
        <f t="shared" si="3"/>
        <v>162.26729166666667</v>
      </c>
      <c r="C39" s="60">
        <f t="shared" si="1"/>
        <v>177.38839285714283</v>
      </c>
      <c r="D39" s="90">
        <f t="shared" si="2"/>
        <v>55.699955357142848</v>
      </c>
      <c r="E39" s="39">
        <v>5</v>
      </c>
      <c r="F39" s="33">
        <f t="shared" si="4"/>
        <v>445.78431406250002</v>
      </c>
      <c r="G39" s="91">
        <f t="shared" si="0"/>
        <v>139.97627461562502</v>
      </c>
      <c r="K39" s="32"/>
    </row>
    <row r="40" spans="1:13" x14ac:dyDescent="0.2">
      <c r="A40" s="39">
        <v>4</v>
      </c>
      <c r="B40" s="33">
        <f t="shared" si="3"/>
        <v>129.81383333333332</v>
      </c>
      <c r="C40" s="60">
        <f t="shared" si="1"/>
        <v>141.91071428571428</v>
      </c>
      <c r="D40" s="90">
        <f t="shared" si="2"/>
        <v>44.559964285714287</v>
      </c>
      <c r="E40" s="39">
        <v>4</v>
      </c>
      <c r="F40" s="33">
        <f t="shared" si="4"/>
        <v>356.62745125000004</v>
      </c>
      <c r="G40" s="91">
        <f t="shared" si="0"/>
        <v>111.98101969250001</v>
      </c>
      <c r="K40" s="32"/>
    </row>
    <row r="41" spans="1:13" x14ac:dyDescent="0.2">
      <c r="A41" s="39">
        <v>3</v>
      </c>
      <c r="B41" s="33">
        <f t="shared" si="3"/>
        <v>97.360375000000005</v>
      </c>
      <c r="C41" s="60">
        <f t="shared" si="1"/>
        <v>106.43303571428572</v>
      </c>
      <c r="D41" s="90">
        <f t="shared" si="2"/>
        <v>33.419973214285719</v>
      </c>
      <c r="E41" s="39">
        <v>3</v>
      </c>
      <c r="F41" s="33">
        <f t="shared" si="4"/>
        <v>267.4705884375</v>
      </c>
      <c r="G41" s="91">
        <f t="shared" si="0"/>
        <v>83.985764769374995</v>
      </c>
      <c r="K41" s="32"/>
    </row>
    <row r="42" spans="1:13" x14ac:dyDescent="0.2">
      <c r="A42" s="39">
        <v>2</v>
      </c>
      <c r="B42" s="33">
        <f t="shared" si="3"/>
        <v>64.90691666666666</v>
      </c>
      <c r="C42" s="60">
        <f t="shared" si="1"/>
        <v>70.955357142857139</v>
      </c>
      <c r="D42" s="90">
        <f t="shared" si="2"/>
        <v>22.279982142857143</v>
      </c>
      <c r="E42" s="39">
        <v>2</v>
      </c>
      <c r="F42" s="33">
        <f t="shared" si="4"/>
        <v>178.31372562500002</v>
      </c>
      <c r="G42" s="91">
        <f t="shared" si="0"/>
        <v>55.990509846250006</v>
      </c>
      <c r="K42" s="32"/>
    </row>
    <row r="43" spans="1:13" ht="15" thickBot="1" x14ac:dyDescent="0.25">
      <c r="A43" s="86">
        <v>1</v>
      </c>
      <c r="B43" s="35">
        <f t="shared" si="3"/>
        <v>32.45345833333333</v>
      </c>
      <c r="C43" s="89">
        <f t="shared" si="1"/>
        <v>35.477678571428569</v>
      </c>
      <c r="D43" s="90">
        <f t="shared" si="2"/>
        <v>11.139991071428572</v>
      </c>
      <c r="E43" s="87">
        <v>1</v>
      </c>
      <c r="F43" s="35">
        <f t="shared" si="4"/>
        <v>89.156862812500009</v>
      </c>
      <c r="G43" s="92">
        <f t="shared" si="0"/>
        <v>27.995254923125003</v>
      </c>
      <c r="K43" s="32"/>
    </row>
    <row r="44" spans="1:13" x14ac:dyDescent="0.2">
      <c r="D44" s="93"/>
      <c r="E44" s="88"/>
    </row>
    <row r="46" spans="1:13" s="53" customFormat="1" ht="57.75" hidden="1" thickBot="1" x14ac:dyDescent="0.25">
      <c r="A46" s="50"/>
      <c r="B46" s="51" t="s">
        <v>40</v>
      </c>
      <c r="C46" s="61">
        <v>8.83</v>
      </c>
      <c r="D46" s="50"/>
      <c r="E46" s="85"/>
      <c r="G46" s="50"/>
      <c r="K46" s="54"/>
    </row>
  </sheetData>
  <sheetProtection algorithmName="SHA-512" hashValue="Gvx12wCyrDDz0cdc1Sqj3xAyKBCYgFGaRw4RBaOgWAtzPmci3fGYdTREMrkg8XQPK0WIMVtb9/i1r7f8TpMcxQ==" saltValue="L6VWJNXtYrU50DJrhHoxxQ==" spinCount="100000" sheet="1" objects="1" scenarios="1"/>
  <protectedRanges>
    <protectedRange sqref="L8" name="RET TC"/>
    <protectedRange sqref="L23" name="DED"/>
    <protectedRange sqref="L26" name="RET TP"/>
    <protectedRange sqref="M36" name="CALCULO RC"/>
  </protectedRanges>
  <mergeCells count="41">
    <mergeCell ref="I34:K34"/>
    <mergeCell ref="I36:L37"/>
    <mergeCell ref="M36:M37"/>
    <mergeCell ref="I29:L30"/>
    <mergeCell ref="I32:I33"/>
    <mergeCell ref="J32:J33"/>
    <mergeCell ref="K32:K33"/>
    <mergeCell ref="L32:L33"/>
    <mergeCell ref="I20:M21"/>
    <mergeCell ref="I23:K24"/>
    <mergeCell ref="L23:L24"/>
    <mergeCell ref="I26:K27"/>
    <mergeCell ref="L26:L27"/>
    <mergeCell ref="I16:I17"/>
    <mergeCell ref="J16:J17"/>
    <mergeCell ref="K16:K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I2:K2"/>
    <mergeCell ref="L2:M2"/>
    <mergeCell ref="I4:I5"/>
    <mergeCell ref="J4:J5"/>
    <mergeCell ref="K4:K5"/>
    <mergeCell ref="L4:L5"/>
    <mergeCell ref="M4:M5"/>
    <mergeCell ref="B1:D1"/>
    <mergeCell ref="F1:G1"/>
    <mergeCell ref="A2:A3"/>
    <mergeCell ref="B2:B3"/>
    <mergeCell ref="C2:C3"/>
    <mergeCell ref="D2:D3"/>
    <mergeCell ref="E2:E3"/>
    <mergeCell ref="F2:F3"/>
    <mergeCell ref="G2:G3"/>
  </mergeCells>
  <phoneticPr fontId="7" type="noConversion"/>
  <hyperlinks>
    <hyperlink ref="M36" r:id="rId1"/>
    <hyperlink ref="M36:M37" r:id="rId2" display="CALCULO RC"/>
  </hyperlinks>
  <pageMargins left="0.75" right="0.75" top="1" bottom="1" header="0" footer="0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1" workbookViewId="0">
      <selection activeCell="B67" sqref="B67"/>
    </sheetView>
  </sheetViews>
  <sheetFormatPr baseColWidth="10" defaultColWidth="11.5703125" defaultRowHeight="14.25" x14ac:dyDescent="0.2"/>
  <cols>
    <col min="1" max="1" width="17.7109375" style="31" customWidth="1"/>
    <col min="2" max="2" width="16.5703125" style="31" bestFit="1" customWidth="1"/>
    <col min="3" max="3" width="16.7109375" style="36" hidden="1" customWidth="1"/>
    <col min="4" max="4" width="15.140625" style="50" bestFit="1" customWidth="1"/>
    <col min="5" max="5" width="17" style="32" customWidth="1"/>
    <col min="6" max="6" width="16.5703125" style="32" bestFit="1" customWidth="1"/>
    <col min="7" max="7" width="15.5703125" style="32" bestFit="1" customWidth="1"/>
    <col min="8" max="8" width="11.5703125" style="32"/>
    <col min="9" max="9" width="20.42578125" style="32" customWidth="1"/>
    <col min="10" max="10" width="17.7109375" style="32" customWidth="1"/>
    <col min="11" max="11" width="24.7109375" style="37" customWidth="1"/>
    <col min="12" max="12" width="21.140625" style="32" customWidth="1"/>
    <col min="13" max="13" width="19.42578125" style="32" customWidth="1"/>
    <col min="14" max="16384" width="11.5703125" style="32"/>
  </cols>
  <sheetData>
    <row r="1" spans="1:13" ht="23.45" customHeight="1" x14ac:dyDescent="0.3">
      <c r="A1" s="58"/>
      <c r="B1" s="108" t="s">
        <v>29</v>
      </c>
      <c r="C1" s="108"/>
      <c r="D1" s="109"/>
      <c r="E1" s="59"/>
      <c r="F1" s="108" t="s">
        <v>30</v>
      </c>
      <c r="G1" s="108"/>
      <c r="K1" s="32"/>
    </row>
    <row r="2" spans="1:13" ht="41.45" customHeight="1" x14ac:dyDescent="0.2">
      <c r="A2" s="110" t="s">
        <v>0</v>
      </c>
      <c r="B2" s="112" t="s">
        <v>47</v>
      </c>
      <c r="C2" s="114" t="s">
        <v>41</v>
      </c>
      <c r="D2" s="116" t="s">
        <v>72</v>
      </c>
      <c r="E2" s="110" t="s">
        <v>0</v>
      </c>
      <c r="F2" s="112" t="s">
        <v>47</v>
      </c>
      <c r="G2" s="116" t="s">
        <v>72</v>
      </c>
      <c r="I2" s="118" t="s">
        <v>48</v>
      </c>
      <c r="J2" s="118"/>
      <c r="K2" s="118"/>
      <c r="L2" s="118" t="s">
        <v>49</v>
      </c>
      <c r="M2" s="118"/>
    </row>
    <row r="3" spans="1:13" s="38" customFormat="1" ht="23.25" thickBot="1" x14ac:dyDescent="0.25">
      <c r="A3" s="111"/>
      <c r="B3" s="113"/>
      <c r="C3" s="115"/>
      <c r="D3" s="117"/>
      <c r="E3" s="111"/>
      <c r="F3" s="113"/>
      <c r="G3" s="117"/>
      <c r="I3" s="63" t="s">
        <v>50</v>
      </c>
      <c r="J3" s="63" t="s">
        <v>51</v>
      </c>
      <c r="K3" s="63" t="s">
        <v>52</v>
      </c>
      <c r="L3" s="64" t="s">
        <v>53</v>
      </c>
      <c r="M3" s="63" t="s">
        <v>54</v>
      </c>
    </row>
    <row r="4" spans="1:13" x14ac:dyDescent="0.2">
      <c r="A4" s="39">
        <v>40</v>
      </c>
      <c r="B4" s="33">
        <f>PARAMETROS!B2</f>
        <v>1298.1383333333333</v>
      </c>
      <c r="C4" s="60"/>
      <c r="D4" s="94"/>
      <c r="E4" s="39">
        <v>40</v>
      </c>
      <c r="F4" s="33">
        <f>PARAMETROS!C3</f>
        <v>2839.7607291666664</v>
      </c>
      <c r="G4" s="91">
        <f>IF(F4&gt;=$K$4,K4*$K$18%,F4*$K$18%)</f>
        <v>891.68486895833325</v>
      </c>
      <c r="I4" s="119">
        <v>1</v>
      </c>
      <c r="J4" s="120">
        <v>1466.4</v>
      </c>
      <c r="K4" s="120">
        <v>4070.1</v>
      </c>
      <c r="L4" s="121">
        <v>1050</v>
      </c>
      <c r="M4" s="121">
        <v>4070.1</v>
      </c>
    </row>
    <row r="5" spans="1:13" x14ac:dyDescent="0.2">
      <c r="A5" s="39">
        <v>39</v>
      </c>
      <c r="B5" s="33">
        <f>PRODUCT(B$4,A5)/A$4</f>
        <v>1265.6848749999999</v>
      </c>
      <c r="C5" s="34">
        <f>(A5/$A$4*7.5*5)/7*30*$C$46</f>
        <v>1383.6294642857142</v>
      </c>
      <c r="D5" s="94">
        <f>IF(B5&lt;C5,C5*$K$18%,B5*$K$18%)</f>
        <v>434.45965178571424</v>
      </c>
      <c r="E5" s="39">
        <v>39</v>
      </c>
      <c r="F5" s="33">
        <f t="shared" ref="F5:F43" si="0">PRODUCT(F$4,E5)/E$4</f>
        <v>2768.7667109374997</v>
      </c>
      <c r="G5" s="91">
        <f t="shared" ref="G5:G43" si="1">IF(F5&gt;=$K$4,K5*$K$18%,F5*$K$18%)</f>
        <v>869.39274723437495</v>
      </c>
      <c r="I5" s="119"/>
      <c r="J5" s="120"/>
      <c r="K5" s="120"/>
      <c r="L5" s="121"/>
      <c r="M5" s="121"/>
    </row>
    <row r="6" spans="1:13" x14ac:dyDescent="0.2">
      <c r="A6" s="39">
        <v>38</v>
      </c>
      <c r="B6" s="33">
        <f t="shared" ref="B6:B43" si="2">PRODUCT(B$4,A6)/A$4</f>
        <v>1233.2314166666667</v>
      </c>
      <c r="C6" s="34">
        <f t="shared" ref="C6:C43" si="3">(A6/$A$4*7.5*5)/7*30*$C$46</f>
        <v>1348.1517857142858</v>
      </c>
      <c r="D6" s="94">
        <f t="shared" ref="D6:D43" si="4">IF(B6&lt;C6,C6*$K$18%,B6*$K$18%)</f>
        <v>423.31966071428576</v>
      </c>
      <c r="E6" s="39">
        <v>38</v>
      </c>
      <c r="F6" s="33">
        <f t="shared" si="0"/>
        <v>2697.7726927083331</v>
      </c>
      <c r="G6" s="91">
        <f t="shared" si="1"/>
        <v>847.10062551041665</v>
      </c>
      <c r="I6" s="65"/>
      <c r="J6" s="66"/>
      <c r="K6" s="66"/>
      <c r="L6" s="67"/>
      <c r="M6" s="66"/>
    </row>
    <row r="7" spans="1:13" ht="15" thickBot="1" x14ac:dyDescent="0.25">
      <c r="A7" s="39">
        <v>37</v>
      </c>
      <c r="B7" s="33">
        <f t="shared" si="2"/>
        <v>1200.7779583333333</v>
      </c>
      <c r="C7" s="34">
        <f t="shared" si="3"/>
        <v>1312.6741071428573</v>
      </c>
      <c r="D7" s="94">
        <f t="shared" si="4"/>
        <v>412.17966964285722</v>
      </c>
      <c r="E7" s="39">
        <v>37</v>
      </c>
      <c r="F7" s="33">
        <f t="shared" si="0"/>
        <v>2626.7786744791665</v>
      </c>
      <c r="G7" s="91">
        <f t="shared" si="1"/>
        <v>824.80850378645823</v>
      </c>
      <c r="I7" s="65"/>
      <c r="J7" s="68"/>
      <c r="K7" s="66"/>
      <c r="L7" s="67"/>
      <c r="M7" s="66"/>
    </row>
    <row r="8" spans="1:13" ht="14.25" customHeight="1" x14ac:dyDescent="0.2">
      <c r="A8" s="39">
        <v>36</v>
      </c>
      <c r="B8" s="33">
        <f t="shared" si="2"/>
        <v>1168.3244999999999</v>
      </c>
      <c r="C8" s="34">
        <f t="shared" si="3"/>
        <v>1277.1964285714284</v>
      </c>
      <c r="D8" s="94">
        <f t="shared" si="4"/>
        <v>401.03967857142851</v>
      </c>
      <c r="E8" s="39">
        <v>36</v>
      </c>
      <c r="F8" s="33">
        <f t="shared" si="0"/>
        <v>2555.7846562499994</v>
      </c>
      <c r="G8" s="91">
        <f t="shared" si="1"/>
        <v>802.51638206249982</v>
      </c>
      <c r="I8" s="122" t="s">
        <v>55</v>
      </c>
      <c r="J8" s="122"/>
      <c r="K8" s="123"/>
      <c r="L8" s="124">
        <v>0</v>
      </c>
      <c r="M8" s="66"/>
    </row>
    <row r="9" spans="1:13" ht="15" thickBot="1" x14ac:dyDescent="0.25">
      <c r="A9" s="39">
        <v>35</v>
      </c>
      <c r="B9" s="33">
        <f t="shared" si="2"/>
        <v>1135.8710416666668</v>
      </c>
      <c r="C9" s="34">
        <f t="shared" si="3"/>
        <v>1241.71875</v>
      </c>
      <c r="D9" s="94">
        <f t="shared" si="4"/>
        <v>389.89968750000003</v>
      </c>
      <c r="E9" s="39">
        <v>35</v>
      </c>
      <c r="F9" s="33">
        <f t="shared" si="0"/>
        <v>2484.7906380208328</v>
      </c>
      <c r="G9" s="91">
        <f t="shared" si="1"/>
        <v>780.22426033854151</v>
      </c>
      <c r="I9" s="122"/>
      <c r="J9" s="122"/>
      <c r="K9" s="123"/>
      <c r="L9" s="125"/>
      <c r="M9" s="66"/>
    </row>
    <row r="10" spans="1:13" ht="15" thickBot="1" x14ac:dyDescent="0.25">
      <c r="A10" s="39">
        <v>34</v>
      </c>
      <c r="B10" s="33">
        <f t="shared" si="2"/>
        <v>1103.4175833333334</v>
      </c>
      <c r="C10" s="34">
        <f t="shared" si="3"/>
        <v>1206.2410714285716</v>
      </c>
      <c r="D10" s="94">
        <f t="shared" si="4"/>
        <v>378.75969642857149</v>
      </c>
      <c r="E10" s="39">
        <v>34</v>
      </c>
      <c r="F10" s="33">
        <f t="shared" si="0"/>
        <v>2413.7966197916662</v>
      </c>
      <c r="G10" s="91">
        <f t="shared" si="1"/>
        <v>757.93213861458321</v>
      </c>
      <c r="I10" s="69"/>
      <c r="J10" s="70"/>
      <c r="K10" s="71"/>
      <c r="L10" s="72"/>
      <c r="M10" s="66"/>
    </row>
    <row r="11" spans="1:13" ht="14.25" customHeight="1" x14ac:dyDescent="0.2">
      <c r="A11" s="39">
        <v>33</v>
      </c>
      <c r="B11" s="33">
        <f t="shared" si="2"/>
        <v>1070.964125</v>
      </c>
      <c r="C11" s="34">
        <f t="shared" si="3"/>
        <v>1170.7633928571427</v>
      </c>
      <c r="D11" s="94">
        <f t="shared" si="4"/>
        <v>367.61970535714278</v>
      </c>
      <c r="E11" s="39">
        <v>33</v>
      </c>
      <c r="F11" s="33">
        <f t="shared" si="0"/>
        <v>2342.8026015624996</v>
      </c>
      <c r="G11" s="91">
        <f t="shared" si="1"/>
        <v>735.64001689062491</v>
      </c>
      <c r="I11" s="126" t="s">
        <v>56</v>
      </c>
      <c r="J11" s="127"/>
      <c r="K11" s="127"/>
      <c r="L11" s="128"/>
      <c r="M11" s="66"/>
    </row>
    <row r="12" spans="1:13" ht="15" thickBot="1" x14ac:dyDescent="0.25">
      <c r="A12" s="39">
        <v>32</v>
      </c>
      <c r="B12" s="33">
        <f t="shared" si="2"/>
        <v>1038.5106666666666</v>
      </c>
      <c r="C12" s="34">
        <f t="shared" si="3"/>
        <v>1135.2857142857142</v>
      </c>
      <c r="D12" s="94">
        <f t="shared" si="4"/>
        <v>356.47971428571429</v>
      </c>
      <c r="E12" s="39">
        <v>32</v>
      </c>
      <c r="F12" s="33">
        <f t="shared" si="0"/>
        <v>2271.808583333333</v>
      </c>
      <c r="G12" s="91">
        <f t="shared" si="1"/>
        <v>713.3478951666666</v>
      </c>
      <c r="I12" s="129"/>
      <c r="J12" s="130"/>
      <c r="K12" s="130"/>
      <c r="L12" s="131"/>
      <c r="M12" s="66"/>
    </row>
    <row r="13" spans="1:13" ht="15" thickBot="1" x14ac:dyDescent="0.25">
      <c r="A13" s="39">
        <v>31</v>
      </c>
      <c r="B13" s="33">
        <f t="shared" si="2"/>
        <v>1006.0572083333333</v>
      </c>
      <c r="C13" s="34">
        <f t="shared" si="3"/>
        <v>1099.8080357142858</v>
      </c>
      <c r="D13" s="94">
        <f t="shared" si="4"/>
        <v>345.33972321428575</v>
      </c>
      <c r="E13" s="39">
        <v>31</v>
      </c>
      <c r="F13" s="33">
        <f t="shared" si="0"/>
        <v>2200.8145651041664</v>
      </c>
      <c r="G13" s="91">
        <f t="shared" si="1"/>
        <v>691.0557734427083</v>
      </c>
      <c r="I13" s="73"/>
      <c r="J13" s="74" t="s">
        <v>57</v>
      </c>
      <c r="K13" s="75" t="s">
        <v>58</v>
      </c>
      <c r="L13" s="76" t="s">
        <v>59</v>
      </c>
      <c r="M13" s="66"/>
    </row>
    <row r="14" spans="1:13" x14ac:dyDescent="0.2">
      <c r="A14" s="39">
        <v>30</v>
      </c>
      <c r="B14" s="33">
        <f t="shared" si="2"/>
        <v>973.60374999999999</v>
      </c>
      <c r="C14" s="34">
        <f t="shared" si="3"/>
        <v>1064.3303571428571</v>
      </c>
      <c r="D14" s="94">
        <f t="shared" si="4"/>
        <v>334.19973214285716</v>
      </c>
      <c r="E14" s="39">
        <v>30</v>
      </c>
      <c r="F14" s="33">
        <f t="shared" si="0"/>
        <v>2129.8205468749998</v>
      </c>
      <c r="G14" s="91">
        <f t="shared" si="1"/>
        <v>668.76365171874988</v>
      </c>
      <c r="I14" s="132" t="s">
        <v>60</v>
      </c>
      <c r="J14" s="134">
        <f>IF(L8&gt;=J4,L8,J4)</f>
        <v>1466.4</v>
      </c>
      <c r="K14" s="136">
        <v>23.6</v>
      </c>
      <c r="L14" s="138">
        <f>J14*K14%</f>
        <v>346.07040000000006</v>
      </c>
      <c r="M14" s="66"/>
    </row>
    <row r="15" spans="1:13" ht="15" thickBot="1" x14ac:dyDescent="0.25">
      <c r="A15" s="39">
        <v>29</v>
      </c>
      <c r="B15" s="33">
        <f t="shared" si="2"/>
        <v>941.15029166666659</v>
      </c>
      <c r="C15" s="34">
        <f t="shared" si="3"/>
        <v>1028.8526785714287</v>
      </c>
      <c r="D15" s="94">
        <f t="shared" si="4"/>
        <v>323.05974107142862</v>
      </c>
      <c r="E15" s="39">
        <v>29</v>
      </c>
      <c r="F15" s="33">
        <f t="shared" si="0"/>
        <v>2058.8265286458332</v>
      </c>
      <c r="G15" s="91">
        <f t="shared" si="1"/>
        <v>646.47152999479158</v>
      </c>
      <c r="I15" s="133"/>
      <c r="J15" s="135"/>
      <c r="K15" s="137"/>
      <c r="L15" s="139"/>
      <c r="M15" s="66"/>
    </row>
    <row r="16" spans="1:13" x14ac:dyDescent="0.2">
      <c r="A16" s="39">
        <v>28</v>
      </c>
      <c r="B16" s="33">
        <f t="shared" si="2"/>
        <v>908.69683333333342</v>
      </c>
      <c r="C16" s="34">
        <f t="shared" si="3"/>
        <v>993.375</v>
      </c>
      <c r="D16" s="94">
        <f t="shared" si="4"/>
        <v>311.91975000000002</v>
      </c>
      <c r="E16" s="39">
        <v>28</v>
      </c>
      <c r="F16" s="33">
        <f t="shared" si="0"/>
        <v>1987.8325104166665</v>
      </c>
      <c r="G16" s="91">
        <f t="shared" si="1"/>
        <v>624.17940827083328</v>
      </c>
      <c r="I16" s="140" t="s">
        <v>61</v>
      </c>
      <c r="J16" s="134">
        <f>IF(L8&gt;=L4,L8,L4)</f>
        <v>1050</v>
      </c>
      <c r="K16" s="136">
        <v>7.8</v>
      </c>
      <c r="L16" s="142">
        <f>J16*K16%</f>
        <v>81.900000000000006</v>
      </c>
      <c r="M16" s="66"/>
    </row>
    <row r="17" spans="1:13" ht="15" thickBot="1" x14ac:dyDescent="0.25">
      <c r="A17" s="39">
        <v>27</v>
      </c>
      <c r="B17" s="33">
        <f t="shared" si="2"/>
        <v>876.24337500000001</v>
      </c>
      <c r="C17" s="34">
        <f t="shared" si="3"/>
        <v>957.89732142857133</v>
      </c>
      <c r="D17" s="94">
        <f t="shared" si="4"/>
        <v>300.77975892857143</v>
      </c>
      <c r="E17" s="39">
        <v>27</v>
      </c>
      <c r="F17" s="33">
        <f t="shared" si="0"/>
        <v>1916.8384921874997</v>
      </c>
      <c r="G17" s="91">
        <f t="shared" si="1"/>
        <v>601.88728654687486</v>
      </c>
      <c r="I17" s="141"/>
      <c r="J17" s="135"/>
      <c r="K17" s="137">
        <v>0.2</v>
      </c>
      <c r="L17" s="143"/>
      <c r="M17" s="66"/>
    </row>
    <row r="18" spans="1:13" ht="15" customHeight="1" thickBot="1" x14ac:dyDescent="0.25">
      <c r="A18" s="39">
        <v>26</v>
      </c>
      <c r="B18" s="33">
        <f t="shared" si="2"/>
        <v>843.78991666666661</v>
      </c>
      <c r="C18" s="34">
        <f t="shared" si="3"/>
        <v>922.41964285714289</v>
      </c>
      <c r="D18" s="94">
        <f t="shared" si="4"/>
        <v>289.63976785714289</v>
      </c>
      <c r="E18" s="39">
        <v>26</v>
      </c>
      <c r="F18" s="33">
        <f t="shared" si="0"/>
        <v>1845.8444739583331</v>
      </c>
      <c r="G18" s="91">
        <f t="shared" si="1"/>
        <v>579.59516482291656</v>
      </c>
      <c r="I18" s="144" t="s">
        <v>62</v>
      </c>
      <c r="J18" s="145"/>
      <c r="K18" s="77">
        <f>(K14+K16)</f>
        <v>31.400000000000002</v>
      </c>
      <c r="L18" s="78">
        <f>SUM(L14:L17)</f>
        <v>427.97040000000004</v>
      </c>
      <c r="M18" s="66"/>
    </row>
    <row r="19" spans="1:13" x14ac:dyDescent="0.2">
      <c r="A19" s="39">
        <v>25</v>
      </c>
      <c r="B19" s="33">
        <f t="shared" si="2"/>
        <v>811.33645833333333</v>
      </c>
      <c r="C19" s="34">
        <f t="shared" si="3"/>
        <v>886.94196428571422</v>
      </c>
      <c r="D19" s="94">
        <f t="shared" si="4"/>
        <v>278.49977678571429</v>
      </c>
      <c r="E19" s="39">
        <v>25</v>
      </c>
      <c r="F19" s="33">
        <f t="shared" si="0"/>
        <v>1774.8504557291665</v>
      </c>
      <c r="G19" s="91">
        <f t="shared" si="1"/>
        <v>557.30304309895826</v>
      </c>
      <c r="I19" s="79"/>
      <c r="J19" s="80"/>
      <c r="K19" s="81"/>
      <c r="L19" s="82"/>
      <c r="M19" s="66"/>
    </row>
    <row r="20" spans="1:13" ht="14.25" customHeight="1" x14ac:dyDescent="0.2">
      <c r="A20" s="39">
        <v>24</v>
      </c>
      <c r="B20" s="33">
        <f t="shared" si="2"/>
        <v>778.88300000000004</v>
      </c>
      <c r="C20" s="34">
        <f t="shared" si="3"/>
        <v>851.46428571428578</v>
      </c>
      <c r="D20" s="94">
        <f t="shared" si="4"/>
        <v>267.35978571428575</v>
      </c>
      <c r="E20" s="39">
        <v>24</v>
      </c>
      <c r="F20" s="33">
        <f t="shared" si="0"/>
        <v>1703.8564374999999</v>
      </c>
      <c r="G20" s="91">
        <f t="shared" si="1"/>
        <v>535.01092137499995</v>
      </c>
      <c r="I20" s="146" t="s">
        <v>63</v>
      </c>
      <c r="J20" s="146"/>
      <c r="K20" s="146"/>
      <c r="L20" s="146"/>
      <c r="M20" s="146"/>
    </row>
    <row r="21" spans="1:13" x14ac:dyDescent="0.2">
      <c r="A21" s="39">
        <v>23</v>
      </c>
      <c r="B21" s="33">
        <f t="shared" si="2"/>
        <v>746.42954166666664</v>
      </c>
      <c r="C21" s="34">
        <f t="shared" si="3"/>
        <v>815.98660714285711</v>
      </c>
      <c r="D21" s="94">
        <f t="shared" si="4"/>
        <v>256.21979464285715</v>
      </c>
      <c r="E21" s="39">
        <v>23</v>
      </c>
      <c r="F21" s="33">
        <f t="shared" si="0"/>
        <v>1632.8624192708332</v>
      </c>
      <c r="G21" s="91">
        <f t="shared" si="1"/>
        <v>512.71879965104165</v>
      </c>
      <c r="I21" s="146"/>
      <c r="J21" s="146"/>
      <c r="K21" s="146"/>
      <c r="L21" s="146"/>
      <c r="M21" s="146"/>
    </row>
    <row r="22" spans="1:13" ht="15" thickBot="1" x14ac:dyDescent="0.25">
      <c r="A22" s="39">
        <v>22</v>
      </c>
      <c r="B22" s="33">
        <f t="shared" si="2"/>
        <v>713.97608333333335</v>
      </c>
      <c r="C22" s="34">
        <f t="shared" si="3"/>
        <v>780.50892857142867</v>
      </c>
      <c r="D22" s="94">
        <f t="shared" si="4"/>
        <v>245.07980357142861</v>
      </c>
      <c r="E22" s="39">
        <v>22</v>
      </c>
      <c r="F22" s="33">
        <f t="shared" si="0"/>
        <v>1561.8684010416666</v>
      </c>
      <c r="G22" s="91">
        <f t="shared" si="1"/>
        <v>490.42667792708335</v>
      </c>
      <c r="I22" s="65"/>
      <c r="J22" s="68"/>
      <c r="K22" s="66"/>
      <c r="L22" s="67"/>
      <c r="M22" s="66"/>
    </row>
    <row r="23" spans="1:13" ht="14.25" customHeight="1" x14ac:dyDescent="0.2">
      <c r="A23" s="39">
        <v>21</v>
      </c>
      <c r="B23" s="33">
        <f t="shared" si="2"/>
        <v>681.52262499999995</v>
      </c>
      <c r="C23" s="34">
        <f t="shared" si="3"/>
        <v>745.03125</v>
      </c>
      <c r="D23" s="94">
        <f t="shared" si="4"/>
        <v>233.93981249999999</v>
      </c>
      <c r="E23" s="39">
        <v>21</v>
      </c>
      <c r="F23" s="33">
        <f t="shared" si="0"/>
        <v>1490.8743828124998</v>
      </c>
      <c r="G23" s="91">
        <f t="shared" si="1"/>
        <v>468.13455620312493</v>
      </c>
      <c r="I23" s="122" t="s">
        <v>64</v>
      </c>
      <c r="J23" s="122"/>
      <c r="K23" s="123"/>
      <c r="L23" s="147">
        <v>0</v>
      </c>
      <c r="M23" s="66"/>
    </row>
    <row r="24" spans="1:13" ht="15" thickBot="1" x14ac:dyDescent="0.25">
      <c r="A24" s="39">
        <v>20</v>
      </c>
      <c r="B24" s="33">
        <f t="shared" si="2"/>
        <v>649.06916666666666</v>
      </c>
      <c r="C24" s="34">
        <f t="shared" si="3"/>
        <v>709.55357142857133</v>
      </c>
      <c r="D24" s="94">
        <f t="shared" si="4"/>
        <v>222.79982142857139</v>
      </c>
      <c r="E24" s="39">
        <v>20</v>
      </c>
      <c r="F24" s="33">
        <f t="shared" si="0"/>
        <v>1419.8803645833332</v>
      </c>
      <c r="G24" s="91">
        <f t="shared" si="1"/>
        <v>445.84243447916663</v>
      </c>
      <c r="I24" s="122"/>
      <c r="J24" s="122"/>
      <c r="K24" s="123"/>
      <c r="L24" s="148"/>
      <c r="M24" s="66"/>
    </row>
    <row r="25" spans="1:13" ht="15" thickBot="1" x14ac:dyDescent="0.25">
      <c r="A25" s="39">
        <v>19</v>
      </c>
      <c r="B25" s="33">
        <f t="shared" si="2"/>
        <v>616.61570833333337</v>
      </c>
      <c r="C25" s="34">
        <f t="shared" si="3"/>
        <v>674.07589285714289</v>
      </c>
      <c r="D25" s="94">
        <f t="shared" si="4"/>
        <v>211.65983035714288</v>
      </c>
      <c r="E25" s="39">
        <v>19</v>
      </c>
      <c r="F25" s="33">
        <f t="shared" si="0"/>
        <v>1348.8863463541666</v>
      </c>
      <c r="G25" s="91">
        <f t="shared" si="1"/>
        <v>423.55031275520832</v>
      </c>
      <c r="I25" s="65"/>
      <c r="J25" s="68"/>
      <c r="K25" s="66"/>
      <c r="L25" s="67"/>
      <c r="M25" s="66"/>
    </row>
    <row r="26" spans="1:13" ht="14.25" customHeight="1" x14ac:dyDescent="0.2">
      <c r="A26" s="39">
        <v>18</v>
      </c>
      <c r="B26" s="33">
        <f t="shared" si="2"/>
        <v>584.16224999999997</v>
      </c>
      <c r="C26" s="34">
        <f t="shared" si="3"/>
        <v>638.59821428571422</v>
      </c>
      <c r="D26" s="94">
        <f t="shared" si="4"/>
        <v>200.51983928571426</v>
      </c>
      <c r="E26" s="39">
        <v>18</v>
      </c>
      <c r="F26" s="33">
        <f t="shared" si="0"/>
        <v>1277.8923281249997</v>
      </c>
      <c r="G26" s="91">
        <f t="shared" si="1"/>
        <v>401.25819103124991</v>
      </c>
      <c r="I26" s="122" t="s">
        <v>65</v>
      </c>
      <c r="J26" s="122"/>
      <c r="K26" s="123"/>
      <c r="L26" s="124">
        <v>0</v>
      </c>
      <c r="M26" s="66"/>
    </row>
    <row r="27" spans="1:13" ht="15" thickBot="1" x14ac:dyDescent="0.25">
      <c r="A27" s="39">
        <v>17</v>
      </c>
      <c r="B27" s="33">
        <f t="shared" si="2"/>
        <v>551.70879166666668</v>
      </c>
      <c r="C27" s="34">
        <f t="shared" si="3"/>
        <v>603.12053571428578</v>
      </c>
      <c r="D27" s="94">
        <f t="shared" si="4"/>
        <v>189.37984821428574</v>
      </c>
      <c r="E27" s="39">
        <v>17</v>
      </c>
      <c r="F27" s="33">
        <f t="shared" si="0"/>
        <v>1206.8983098958331</v>
      </c>
      <c r="G27" s="91">
        <f t="shared" si="1"/>
        <v>378.9660693072916</v>
      </c>
      <c r="I27" s="122"/>
      <c r="J27" s="122"/>
      <c r="K27" s="123"/>
      <c r="L27" s="125"/>
      <c r="M27" s="66"/>
    </row>
    <row r="28" spans="1:13" ht="15" thickBot="1" x14ac:dyDescent="0.25">
      <c r="A28" s="39">
        <v>16</v>
      </c>
      <c r="B28" s="33">
        <f t="shared" si="2"/>
        <v>519.25533333333328</v>
      </c>
      <c r="C28" s="34">
        <f t="shared" si="3"/>
        <v>567.64285714285711</v>
      </c>
      <c r="D28" s="94">
        <f t="shared" si="4"/>
        <v>178.23985714285715</v>
      </c>
      <c r="E28" s="39">
        <v>16</v>
      </c>
      <c r="F28" s="33">
        <f t="shared" si="0"/>
        <v>1135.9042916666665</v>
      </c>
      <c r="G28" s="91">
        <f t="shared" si="1"/>
        <v>356.6739475833333</v>
      </c>
      <c r="I28" s="65"/>
      <c r="J28" s="68"/>
      <c r="K28" s="66"/>
      <c r="L28" s="67"/>
      <c r="M28" s="66"/>
    </row>
    <row r="29" spans="1:13" ht="14.25" customHeight="1" x14ac:dyDescent="0.2">
      <c r="A29" s="39">
        <v>15</v>
      </c>
      <c r="B29" s="33">
        <f t="shared" si="2"/>
        <v>486.801875</v>
      </c>
      <c r="C29" s="34">
        <f t="shared" si="3"/>
        <v>532.16517857142856</v>
      </c>
      <c r="D29" s="94">
        <f t="shared" si="4"/>
        <v>167.09986607142858</v>
      </c>
      <c r="E29" s="39">
        <v>15</v>
      </c>
      <c r="F29" s="33">
        <f t="shared" si="0"/>
        <v>1064.9102734374999</v>
      </c>
      <c r="G29" s="91">
        <f t="shared" si="1"/>
        <v>334.38182585937494</v>
      </c>
      <c r="I29" s="126" t="s">
        <v>66</v>
      </c>
      <c r="J29" s="127"/>
      <c r="K29" s="127"/>
      <c r="L29" s="128"/>
      <c r="M29" s="66"/>
    </row>
    <row r="30" spans="1:13" ht="15" thickBot="1" x14ac:dyDescent="0.25">
      <c r="A30" s="39">
        <v>14</v>
      </c>
      <c r="B30" s="33">
        <f t="shared" si="2"/>
        <v>454.34841666666671</v>
      </c>
      <c r="C30" s="34">
        <f t="shared" si="3"/>
        <v>496.6875</v>
      </c>
      <c r="D30" s="94">
        <f t="shared" si="4"/>
        <v>155.95987500000001</v>
      </c>
      <c r="E30" s="39">
        <v>14</v>
      </c>
      <c r="F30" s="33">
        <f t="shared" si="0"/>
        <v>993.91625520833327</v>
      </c>
      <c r="G30" s="91">
        <f t="shared" si="1"/>
        <v>312.08970413541664</v>
      </c>
      <c r="I30" s="129"/>
      <c r="J30" s="130"/>
      <c r="K30" s="130"/>
      <c r="L30" s="131"/>
      <c r="M30" s="66"/>
    </row>
    <row r="31" spans="1:13" ht="15" thickBot="1" x14ac:dyDescent="0.25">
      <c r="A31" s="39">
        <v>13</v>
      </c>
      <c r="B31" s="33">
        <f t="shared" si="2"/>
        <v>421.89495833333331</v>
      </c>
      <c r="C31" s="34">
        <f t="shared" si="3"/>
        <v>461.20982142857144</v>
      </c>
      <c r="D31" s="94">
        <f t="shared" si="4"/>
        <v>144.81988392857144</v>
      </c>
      <c r="E31" s="39">
        <v>13</v>
      </c>
      <c r="F31" s="33">
        <f t="shared" si="0"/>
        <v>922.92223697916654</v>
      </c>
      <c r="G31" s="91">
        <f t="shared" si="1"/>
        <v>289.79758241145828</v>
      </c>
      <c r="I31" s="83" t="s">
        <v>67</v>
      </c>
      <c r="J31" s="84" t="s">
        <v>57</v>
      </c>
      <c r="K31" s="75" t="s">
        <v>68</v>
      </c>
      <c r="L31" s="76" t="s">
        <v>59</v>
      </c>
      <c r="M31" s="66"/>
    </row>
    <row r="32" spans="1:13" x14ac:dyDescent="0.2">
      <c r="A32" s="39">
        <v>12</v>
      </c>
      <c r="B32" s="33">
        <f t="shared" si="2"/>
        <v>389.44150000000002</v>
      </c>
      <c r="C32" s="34">
        <f t="shared" si="3"/>
        <v>425.73214285714289</v>
      </c>
      <c r="D32" s="94">
        <f t="shared" si="4"/>
        <v>133.67989285714287</v>
      </c>
      <c r="E32" s="39">
        <v>12</v>
      </c>
      <c r="F32" s="33">
        <f t="shared" si="0"/>
        <v>851.92821874999993</v>
      </c>
      <c r="G32" s="91">
        <f t="shared" si="1"/>
        <v>267.50546068749998</v>
      </c>
      <c r="I32" s="154">
        <f>((L23/40*7.5*5)/7)*30*$C$46</f>
        <v>0</v>
      </c>
      <c r="J32" s="156">
        <f>IF(L26&lt;I32,I32,L26)</f>
        <v>0</v>
      </c>
      <c r="K32" s="158">
        <v>31.4</v>
      </c>
      <c r="L32" s="142">
        <f>J32*K32%</f>
        <v>0</v>
      </c>
      <c r="M32" s="66"/>
    </row>
    <row r="33" spans="1:13" ht="15" thickBot="1" x14ac:dyDescent="0.25">
      <c r="A33" s="39">
        <v>11</v>
      </c>
      <c r="B33" s="33">
        <f t="shared" si="2"/>
        <v>356.98804166666667</v>
      </c>
      <c r="C33" s="34">
        <f t="shared" si="3"/>
        <v>390.25446428571433</v>
      </c>
      <c r="D33" s="94">
        <f t="shared" si="4"/>
        <v>122.53990178571431</v>
      </c>
      <c r="E33" s="39">
        <v>11</v>
      </c>
      <c r="F33" s="33">
        <f t="shared" si="0"/>
        <v>780.93420052083331</v>
      </c>
      <c r="G33" s="91">
        <f t="shared" si="1"/>
        <v>245.21333896354167</v>
      </c>
      <c r="I33" s="155"/>
      <c r="J33" s="157"/>
      <c r="K33" s="159"/>
      <c r="L33" s="160"/>
      <c r="M33" s="66"/>
    </row>
    <row r="34" spans="1:13" ht="15" customHeight="1" thickBot="1" x14ac:dyDescent="0.25">
      <c r="A34" s="39">
        <v>10</v>
      </c>
      <c r="B34" s="33">
        <f t="shared" si="2"/>
        <v>324.53458333333333</v>
      </c>
      <c r="C34" s="34">
        <f t="shared" si="3"/>
        <v>354.77678571428567</v>
      </c>
      <c r="D34" s="94">
        <f t="shared" si="4"/>
        <v>111.3999107142857</v>
      </c>
      <c r="E34" s="39">
        <v>10</v>
      </c>
      <c r="F34" s="33">
        <f t="shared" si="0"/>
        <v>709.94018229166659</v>
      </c>
      <c r="G34" s="91">
        <f t="shared" si="1"/>
        <v>222.92121723958331</v>
      </c>
      <c r="I34" s="149" t="s">
        <v>69</v>
      </c>
      <c r="J34" s="150"/>
      <c r="K34" s="151"/>
      <c r="L34" s="78">
        <f>SUM(L32)</f>
        <v>0</v>
      </c>
      <c r="M34" s="66"/>
    </row>
    <row r="35" spans="1:13" x14ac:dyDescent="0.2">
      <c r="A35" s="39">
        <v>9</v>
      </c>
      <c r="B35" s="33">
        <f t="shared" si="2"/>
        <v>292.08112499999999</v>
      </c>
      <c r="C35" s="34">
        <f t="shared" si="3"/>
        <v>319.29910714285711</v>
      </c>
      <c r="D35" s="94">
        <f t="shared" si="4"/>
        <v>100.25991964285713</v>
      </c>
      <c r="E35" s="39">
        <v>9</v>
      </c>
      <c r="F35" s="33">
        <f t="shared" si="0"/>
        <v>638.94616406249986</v>
      </c>
      <c r="G35" s="91">
        <f t="shared" si="1"/>
        <v>200.62909551562495</v>
      </c>
      <c r="I35" s="65"/>
      <c r="J35" s="68"/>
      <c r="K35" s="66"/>
      <c r="L35" s="67"/>
      <c r="M35" s="66"/>
    </row>
    <row r="36" spans="1:13" ht="14.25" customHeight="1" x14ac:dyDescent="0.2">
      <c r="A36" s="39">
        <v>8</v>
      </c>
      <c r="B36" s="33">
        <f t="shared" si="2"/>
        <v>259.62766666666664</v>
      </c>
      <c r="C36" s="34">
        <f t="shared" si="3"/>
        <v>283.82142857142856</v>
      </c>
      <c r="D36" s="94">
        <f t="shared" si="4"/>
        <v>89.119928571428574</v>
      </c>
      <c r="E36" s="39">
        <v>8</v>
      </c>
      <c r="F36" s="33">
        <f t="shared" si="0"/>
        <v>567.95214583333325</v>
      </c>
      <c r="G36" s="91">
        <f t="shared" si="1"/>
        <v>178.33697379166665</v>
      </c>
      <c r="I36" s="152" t="s">
        <v>70</v>
      </c>
      <c r="J36" s="152"/>
      <c r="K36" s="152"/>
      <c r="L36" s="152"/>
      <c r="M36" s="153" t="s">
        <v>71</v>
      </c>
    </row>
    <row r="37" spans="1:13" x14ac:dyDescent="0.2">
      <c r="A37" s="39">
        <v>7</v>
      </c>
      <c r="B37" s="33">
        <f t="shared" si="2"/>
        <v>227.17420833333335</v>
      </c>
      <c r="C37" s="34">
        <f t="shared" si="3"/>
        <v>248.34375</v>
      </c>
      <c r="D37" s="94">
        <f t="shared" si="4"/>
        <v>77.979937500000005</v>
      </c>
      <c r="E37" s="39">
        <v>7</v>
      </c>
      <c r="F37" s="33">
        <f t="shared" si="0"/>
        <v>496.95812760416663</v>
      </c>
      <c r="G37" s="91">
        <f t="shared" si="1"/>
        <v>156.04485206770832</v>
      </c>
      <c r="I37" s="152"/>
      <c r="J37" s="152"/>
      <c r="K37" s="152"/>
      <c r="L37" s="152"/>
      <c r="M37" s="153"/>
    </row>
    <row r="38" spans="1:13" x14ac:dyDescent="0.2">
      <c r="A38" s="39">
        <v>6</v>
      </c>
      <c r="B38" s="33">
        <f t="shared" si="2"/>
        <v>194.72075000000001</v>
      </c>
      <c r="C38" s="34">
        <f t="shared" si="3"/>
        <v>212.86607142857144</v>
      </c>
      <c r="D38" s="94">
        <f t="shared" si="4"/>
        <v>66.839946428571437</v>
      </c>
      <c r="E38" s="39">
        <v>6</v>
      </c>
      <c r="F38" s="33">
        <f t="shared" si="0"/>
        <v>425.96410937499996</v>
      </c>
      <c r="G38" s="91">
        <f t="shared" si="1"/>
        <v>133.75273034374999</v>
      </c>
      <c r="K38" s="32"/>
    </row>
    <row r="39" spans="1:13" x14ac:dyDescent="0.2">
      <c r="A39" s="39">
        <v>5</v>
      </c>
      <c r="B39" s="33">
        <f t="shared" si="2"/>
        <v>162.26729166666667</v>
      </c>
      <c r="C39" s="34">
        <f t="shared" si="3"/>
        <v>177.38839285714283</v>
      </c>
      <c r="D39" s="94">
        <f t="shared" si="4"/>
        <v>55.699955357142848</v>
      </c>
      <c r="E39" s="39">
        <v>5</v>
      </c>
      <c r="F39" s="33">
        <f t="shared" si="0"/>
        <v>354.97009114583329</v>
      </c>
      <c r="G39" s="91">
        <f t="shared" si="1"/>
        <v>111.46060861979166</v>
      </c>
      <c r="K39" s="32"/>
    </row>
    <row r="40" spans="1:13" x14ac:dyDescent="0.2">
      <c r="A40" s="39">
        <v>4</v>
      </c>
      <c r="B40" s="33">
        <f t="shared" si="2"/>
        <v>129.81383333333332</v>
      </c>
      <c r="C40" s="34">
        <f t="shared" si="3"/>
        <v>141.91071428571428</v>
      </c>
      <c r="D40" s="94">
        <f t="shared" si="4"/>
        <v>44.559964285714287</v>
      </c>
      <c r="E40" s="39">
        <v>4</v>
      </c>
      <c r="F40" s="33">
        <f t="shared" si="0"/>
        <v>283.97607291666662</v>
      </c>
      <c r="G40" s="91">
        <f t="shared" si="1"/>
        <v>89.168486895833325</v>
      </c>
      <c r="K40" s="32"/>
    </row>
    <row r="41" spans="1:13" x14ac:dyDescent="0.2">
      <c r="A41" s="39">
        <v>3</v>
      </c>
      <c r="B41" s="33">
        <f t="shared" si="2"/>
        <v>97.360375000000005</v>
      </c>
      <c r="C41" s="34">
        <f t="shared" si="3"/>
        <v>106.43303571428572</v>
      </c>
      <c r="D41" s="94">
        <f t="shared" si="4"/>
        <v>33.419973214285719</v>
      </c>
      <c r="E41" s="39">
        <v>3</v>
      </c>
      <c r="F41" s="33">
        <f t="shared" si="0"/>
        <v>212.98205468749998</v>
      </c>
      <c r="G41" s="91">
        <f t="shared" si="1"/>
        <v>66.876365171874994</v>
      </c>
      <c r="K41" s="32"/>
    </row>
    <row r="42" spans="1:13" x14ac:dyDescent="0.2">
      <c r="A42" s="39">
        <v>2</v>
      </c>
      <c r="B42" s="33">
        <f t="shared" si="2"/>
        <v>64.90691666666666</v>
      </c>
      <c r="C42" s="34">
        <f t="shared" si="3"/>
        <v>70.955357142857139</v>
      </c>
      <c r="D42" s="94">
        <f t="shared" si="4"/>
        <v>22.279982142857143</v>
      </c>
      <c r="E42" s="39">
        <v>2</v>
      </c>
      <c r="F42" s="33">
        <f t="shared" si="0"/>
        <v>141.98803645833331</v>
      </c>
      <c r="G42" s="91">
        <f t="shared" si="1"/>
        <v>44.584243447916663</v>
      </c>
      <c r="K42" s="32"/>
    </row>
    <row r="43" spans="1:13" ht="15" thickBot="1" x14ac:dyDescent="0.25">
      <c r="A43" s="96">
        <v>1</v>
      </c>
      <c r="B43" s="97">
        <f t="shared" si="2"/>
        <v>32.45345833333333</v>
      </c>
      <c r="C43" s="98">
        <f t="shared" si="3"/>
        <v>35.477678571428569</v>
      </c>
      <c r="D43" s="94">
        <f t="shared" si="4"/>
        <v>11.139991071428572</v>
      </c>
      <c r="E43" s="87">
        <v>1</v>
      </c>
      <c r="F43" s="35">
        <f t="shared" si="0"/>
        <v>70.994018229166656</v>
      </c>
      <c r="G43" s="92">
        <f t="shared" si="1"/>
        <v>22.292121723958331</v>
      </c>
      <c r="K43" s="32"/>
    </row>
    <row r="44" spans="1:13" x14ac:dyDescent="0.2">
      <c r="A44" s="93"/>
      <c r="D44" s="95"/>
      <c r="E44" s="88"/>
    </row>
    <row r="46" spans="1:13" s="53" customFormat="1" ht="57.75" hidden="1" thickBot="1" x14ac:dyDescent="0.25">
      <c r="A46" s="50" t="s">
        <v>76</v>
      </c>
      <c r="B46" s="51" t="s">
        <v>40</v>
      </c>
      <c r="C46" s="52">
        <v>8.83</v>
      </c>
      <c r="D46" s="50"/>
      <c r="E46" s="85"/>
      <c r="K46" s="54"/>
    </row>
  </sheetData>
  <sheetProtection algorithmName="SHA-512" hashValue="CDFDTu90kbvuPGWt+D4AeWuw2RmeaEwzLbLaAwAJRfzH7cn7I1ps1ZnWk7Q8pchxqHizRNlvy6gtpKB3glBXew==" saltValue="9zFle0kT4aSgkCeFx9978A==" spinCount="100000" sheet="1" objects="1" scenarios="1"/>
  <protectedRanges>
    <protectedRange sqref="L8" name="RET TC_1"/>
    <protectedRange sqref="L23" name="DED_1"/>
    <protectedRange sqref="L26" name="RET TP_1"/>
    <protectedRange sqref="M36" name="CALCULO RC_1"/>
  </protectedRanges>
  <mergeCells count="41">
    <mergeCell ref="I34:K34"/>
    <mergeCell ref="I36:L37"/>
    <mergeCell ref="M36:M37"/>
    <mergeCell ref="A2:A3"/>
    <mergeCell ref="B2:B3"/>
    <mergeCell ref="C2:C3"/>
    <mergeCell ref="D2:D3"/>
    <mergeCell ref="E2:E3"/>
    <mergeCell ref="F2:F3"/>
    <mergeCell ref="G2:G3"/>
    <mergeCell ref="I29:L30"/>
    <mergeCell ref="I32:I33"/>
    <mergeCell ref="J32:J33"/>
    <mergeCell ref="K32:K33"/>
    <mergeCell ref="L32:L33"/>
    <mergeCell ref="I20:M21"/>
    <mergeCell ref="I23:K24"/>
    <mergeCell ref="L23:L24"/>
    <mergeCell ref="I26:K27"/>
    <mergeCell ref="L26:L27"/>
    <mergeCell ref="I16:I17"/>
    <mergeCell ref="J16:J17"/>
    <mergeCell ref="K16:K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F1:G1"/>
    <mergeCell ref="B1:D1"/>
    <mergeCell ref="I2:K2"/>
    <mergeCell ref="L2:M2"/>
    <mergeCell ref="I4:I5"/>
    <mergeCell ref="J4:J5"/>
    <mergeCell ref="K4:K5"/>
    <mergeCell ref="L4:L5"/>
    <mergeCell ref="M4:M5"/>
  </mergeCells>
  <phoneticPr fontId="0" type="noConversion"/>
  <hyperlinks>
    <hyperlink ref="M36" r:id="rId1"/>
    <hyperlink ref="M36:M37" r:id="rId2" display="CALCULO RC"/>
  </hyperlinks>
  <pageMargins left="0.75" right="0.75" top="1" bottom="1" header="0" footer="0"/>
  <pageSetup paperSize="9" orientation="portrait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22" workbookViewId="0">
      <selection activeCell="I39" sqref="I39"/>
    </sheetView>
  </sheetViews>
  <sheetFormatPr baseColWidth="10" defaultColWidth="11.5703125" defaultRowHeight="14.25" x14ac:dyDescent="0.2"/>
  <cols>
    <col min="1" max="1" width="17.7109375" style="31" customWidth="1"/>
    <col min="2" max="2" width="16.5703125" style="31" bestFit="1" customWidth="1"/>
    <col min="3" max="3" width="16.7109375" style="36" hidden="1" customWidth="1"/>
    <col min="4" max="4" width="17.28515625" style="50" bestFit="1" customWidth="1"/>
    <col min="5" max="5" width="17" style="32" customWidth="1"/>
    <col min="6" max="6" width="16.5703125" style="32" bestFit="1" customWidth="1"/>
    <col min="7" max="7" width="15.5703125" style="32" bestFit="1" customWidth="1"/>
    <col min="8" max="8" width="11.5703125" style="32"/>
    <col min="9" max="9" width="20.7109375" style="32" customWidth="1"/>
    <col min="10" max="10" width="25.85546875" style="32" customWidth="1"/>
    <col min="11" max="11" width="22.42578125" style="37" customWidth="1"/>
    <col min="12" max="12" width="20.28515625" style="32" customWidth="1"/>
    <col min="13" max="13" width="17.5703125" style="32" customWidth="1"/>
    <col min="14" max="16384" width="11.5703125" style="32"/>
  </cols>
  <sheetData>
    <row r="1" spans="1:13" ht="23.45" customHeight="1" x14ac:dyDescent="0.3">
      <c r="A1" s="58"/>
      <c r="B1" s="108" t="s">
        <v>29</v>
      </c>
      <c r="C1" s="108"/>
      <c r="D1" s="109"/>
      <c r="E1" s="59"/>
      <c r="F1" s="108" t="s">
        <v>30</v>
      </c>
      <c r="G1" s="108"/>
      <c r="K1" s="32"/>
    </row>
    <row r="2" spans="1:13" ht="41.45" customHeight="1" x14ac:dyDescent="0.2">
      <c r="A2" s="110" t="s">
        <v>0</v>
      </c>
      <c r="B2" s="112" t="s">
        <v>47</v>
      </c>
      <c r="C2" s="114" t="s">
        <v>41</v>
      </c>
      <c r="D2" s="116" t="s">
        <v>72</v>
      </c>
      <c r="E2" s="110" t="s">
        <v>0</v>
      </c>
      <c r="F2" s="112" t="s">
        <v>47</v>
      </c>
      <c r="G2" s="116" t="s">
        <v>72</v>
      </c>
      <c r="I2" s="118" t="s">
        <v>48</v>
      </c>
      <c r="J2" s="118"/>
      <c r="K2" s="118"/>
      <c r="L2" s="118" t="s">
        <v>49</v>
      </c>
      <c r="M2" s="118"/>
    </row>
    <row r="3" spans="1:13" s="38" customFormat="1" ht="23.25" thickBot="1" x14ac:dyDescent="0.25">
      <c r="A3" s="111"/>
      <c r="B3" s="113"/>
      <c r="C3" s="115"/>
      <c r="D3" s="117"/>
      <c r="E3" s="111"/>
      <c r="F3" s="113"/>
      <c r="G3" s="117"/>
      <c r="I3" s="63" t="s">
        <v>50</v>
      </c>
      <c r="J3" s="63" t="s">
        <v>51</v>
      </c>
      <c r="K3" s="63" t="s">
        <v>52</v>
      </c>
      <c r="L3" s="64" t="s">
        <v>53</v>
      </c>
      <c r="M3" s="63" t="s">
        <v>54</v>
      </c>
    </row>
    <row r="4" spans="1:13" x14ac:dyDescent="0.2">
      <c r="A4" s="39">
        <v>40</v>
      </c>
      <c r="B4" s="33">
        <f>PARAMETROS!B4</f>
        <v>1141.5049999999999</v>
      </c>
      <c r="C4" s="34"/>
      <c r="D4" s="94"/>
      <c r="E4" s="39">
        <v>40</v>
      </c>
      <c r="F4" s="33">
        <f>PARAMETROS!C4</f>
        <v>2271.808583333333</v>
      </c>
      <c r="G4" s="91">
        <f>IF(F4&gt;=$K$4,K4*$K$18%,F4*$K$18%)</f>
        <v>713.3478951666666</v>
      </c>
      <c r="I4" s="119">
        <v>2</v>
      </c>
      <c r="J4" s="120">
        <v>1215.9000000000001</v>
      </c>
      <c r="K4" s="120">
        <v>4070.1</v>
      </c>
      <c r="L4" s="121">
        <v>1050</v>
      </c>
      <c r="M4" s="121">
        <v>4070.1</v>
      </c>
    </row>
    <row r="5" spans="1:13" x14ac:dyDescent="0.2">
      <c r="A5" s="39">
        <v>39</v>
      </c>
      <c r="B5" s="33">
        <f>PRODUCT(B$4,A5)/A$4</f>
        <v>1112.9673749999997</v>
      </c>
      <c r="C5" s="34">
        <f>(A5/$A$4*7.5*5)/7*30*$C$46</f>
        <v>1147.0178571428571</v>
      </c>
      <c r="D5" s="94">
        <f>IF(B5&lt;C5,C5*$K$18%,B5*$K$18%)</f>
        <v>360.16360714285713</v>
      </c>
      <c r="E5" s="39">
        <v>39</v>
      </c>
      <c r="F5" s="33">
        <f>PRODUCT(F$4,E5)/E$4</f>
        <v>2215.0133687499997</v>
      </c>
      <c r="G5" s="91">
        <f t="shared" ref="G5:G43" si="0">IF(F5&gt;=$K$4,K5*$K$18%,F5*$K$18%)</f>
        <v>695.51419778749994</v>
      </c>
      <c r="I5" s="119"/>
      <c r="J5" s="120"/>
      <c r="K5" s="120"/>
      <c r="L5" s="121"/>
      <c r="M5" s="121"/>
    </row>
    <row r="6" spans="1:13" x14ac:dyDescent="0.2">
      <c r="A6" s="39">
        <v>38</v>
      </c>
      <c r="B6" s="33">
        <f t="shared" ref="B6:B43" si="1">PRODUCT(B$4,A6)/A$4</f>
        <v>1084.4297499999998</v>
      </c>
      <c r="C6" s="34">
        <f t="shared" ref="C6:C43" si="2">(A6/$A$4*7.5*5)/7*30*$C$46</f>
        <v>1117.6071428571431</v>
      </c>
      <c r="D6" s="94">
        <f t="shared" ref="D6:D43" si="3">IF(B6&lt;C6,C6*$K$18%,B6*$K$18%)</f>
        <v>350.92864285714296</v>
      </c>
      <c r="E6" s="39">
        <v>38</v>
      </c>
      <c r="F6" s="33">
        <f t="shared" ref="F6:F43" si="4">PRODUCT(F$4,E6)/E$4</f>
        <v>2158.2181541666664</v>
      </c>
      <c r="G6" s="91">
        <f t="shared" si="0"/>
        <v>677.68050040833327</v>
      </c>
      <c r="I6" s="65"/>
      <c r="J6" s="66"/>
      <c r="K6" s="66"/>
      <c r="L6" s="67"/>
      <c r="M6" s="66"/>
    </row>
    <row r="7" spans="1:13" ht="15" thickBot="1" x14ac:dyDescent="0.25">
      <c r="A7" s="39">
        <v>37</v>
      </c>
      <c r="B7" s="33">
        <f t="shared" si="1"/>
        <v>1055.8921249999999</v>
      </c>
      <c r="C7" s="34">
        <f t="shared" si="2"/>
        <v>1088.1964285714287</v>
      </c>
      <c r="D7" s="94">
        <f t="shared" si="3"/>
        <v>341.69367857142862</v>
      </c>
      <c r="E7" s="39">
        <v>37</v>
      </c>
      <c r="F7" s="33">
        <f t="shared" si="4"/>
        <v>2101.4229395833327</v>
      </c>
      <c r="G7" s="91">
        <f t="shared" si="0"/>
        <v>659.84680302916649</v>
      </c>
      <c r="I7" s="65"/>
      <c r="J7" s="68"/>
      <c r="K7" s="66"/>
      <c r="L7" s="67"/>
      <c r="M7" s="66"/>
    </row>
    <row r="8" spans="1:13" ht="14.25" customHeight="1" x14ac:dyDescent="0.2">
      <c r="A8" s="39">
        <v>36</v>
      </c>
      <c r="B8" s="33">
        <f t="shared" si="1"/>
        <v>1027.3544999999999</v>
      </c>
      <c r="C8" s="34">
        <f t="shared" si="2"/>
        <v>1058.7857142857142</v>
      </c>
      <c r="D8" s="94">
        <f t="shared" si="3"/>
        <v>332.45871428571428</v>
      </c>
      <c r="E8" s="39">
        <v>36</v>
      </c>
      <c r="F8" s="33">
        <f t="shared" si="4"/>
        <v>2044.6277249999996</v>
      </c>
      <c r="G8" s="91">
        <f t="shared" si="0"/>
        <v>642.01310564999983</v>
      </c>
      <c r="I8" s="122" t="s">
        <v>55</v>
      </c>
      <c r="J8" s="122"/>
      <c r="K8" s="123"/>
      <c r="L8" s="124">
        <v>0</v>
      </c>
      <c r="M8" s="66"/>
    </row>
    <row r="9" spans="1:13" ht="15" thickBot="1" x14ac:dyDescent="0.25">
      <c r="A9" s="39">
        <v>35</v>
      </c>
      <c r="B9" s="33">
        <f t="shared" si="1"/>
        <v>998.81687499999987</v>
      </c>
      <c r="C9" s="34">
        <f t="shared" si="2"/>
        <v>1029.375</v>
      </c>
      <c r="D9" s="94">
        <f t="shared" si="3"/>
        <v>323.22375</v>
      </c>
      <c r="E9" s="39">
        <v>35</v>
      </c>
      <c r="F9" s="33">
        <f t="shared" si="4"/>
        <v>1987.8325104166663</v>
      </c>
      <c r="G9" s="91">
        <f t="shared" si="0"/>
        <v>624.17940827083328</v>
      </c>
      <c r="I9" s="122"/>
      <c r="J9" s="122"/>
      <c r="K9" s="123"/>
      <c r="L9" s="125"/>
      <c r="M9" s="66"/>
    </row>
    <row r="10" spans="1:13" ht="15" thickBot="1" x14ac:dyDescent="0.25">
      <c r="A10" s="39">
        <v>34</v>
      </c>
      <c r="B10" s="33">
        <f t="shared" si="1"/>
        <v>970.27924999999993</v>
      </c>
      <c r="C10" s="34">
        <f t="shared" si="2"/>
        <v>999.96428571428578</v>
      </c>
      <c r="D10" s="94">
        <f t="shared" si="3"/>
        <v>313.98878571428571</v>
      </c>
      <c r="E10" s="39">
        <v>34</v>
      </c>
      <c r="F10" s="33">
        <f t="shared" si="4"/>
        <v>1931.037295833333</v>
      </c>
      <c r="G10" s="91">
        <f t="shared" si="0"/>
        <v>606.34571089166661</v>
      </c>
      <c r="I10" s="69"/>
      <c r="J10" s="70"/>
      <c r="K10" s="71"/>
      <c r="L10" s="72"/>
      <c r="M10" s="66"/>
    </row>
    <row r="11" spans="1:13" ht="14.25" customHeight="1" x14ac:dyDescent="0.2">
      <c r="A11" s="39">
        <v>33</v>
      </c>
      <c r="B11" s="33">
        <f t="shared" si="1"/>
        <v>941.74162499999989</v>
      </c>
      <c r="C11" s="34">
        <f t="shared" si="2"/>
        <v>970.55357142857133</v>
      </c>
      <c r="D11" s="94">
        <f t="shared" si="3"/>
        <v>304.75382142857143</v>
      </c>
      <c r="E11" s="39">
        <v>33</v>
      </c>
      <c r="F11" s="33">
        <f t="shared" si="4"/>
        <v>1874.2420812499997</v>
      </c>
      <c r="G11" s="91">
        <f t="shared" si="0"/>
        <v>588.51201351249995</v>
      </c>
      <c r="I11" s="126" t="s">
        <v>56</v>
      </c>
      <c r="J11" s="127"/>
      <c r="K11" s="127"/>
      <c r="L11" s="128"/>
      <c r="M11" s="66"/>
    </row>
    <row r="12" spans="1:13" ht="15" thickBot="1" x14ac:dyDescent="0.25">
      <c r="A12" s="39">
        <v>32</v>
      </c>
      <c r="B12" s="33">
        <f t="shared" si="1"/>
        <v>913.20399999999995</v>
      </c>
      <c r="C12" s="34">
        <f t="shared" si="2"/>
        <v>941.14285714285711</v>
      </c>
      <c r="D12" s="94">
        <f t="shared" si="3"/>
        <v>295.51885714285714</v>
      </c>
      <c r="E12" s="39">
        <v>32</v>
      </c>
      <c r="F12" s="33">
        <f t="shared" si="4"/>
        <v>1817.4468666666664</v>
      </c>
      <c r="G12" s="91">
        <f t="shared" si="0"/>
        <v>570.67831613333328</v>
      </c>
      <c r="I12" s="129"/>
      <c r="J12" s="130"/>
      <c r="K12" s="130"/>
      <c r="L12" s="131"/>
      <c r="M12" s="66"/>
    </row>
    <row r="13" spans="1:13" ht="15" thickBot="1" x14ac:dyDescent="0.25">
      <c r="A13" s="39">
        <v>31</v>
      </c>
      <c r="B13" s="33">
        <f t="shared" si="1"/>
        <v>884.66637500000002</v>
      </c>
      <c r="C13" s="34">
        <f t="shared" si="2"/>
        <v>911.73214285714289</v>
      </c>
      <c r="D13" s="94">
        <f t="shared" si="3"/>
        <v>286.28389285714286</v>
      </c>
      <c r="E13" s="39">
        <v>31</v>
      </c>
      <c r="F13" s="33">
        <f t="shared" si="4"/>
        <v>1760.6516520833331</v>
      </c>
      <c r="G13" s="91">
        <f t="shared" si="0"/>
        <v>552.84461875416662</v>
      </c>
      <c r="I13" s="73"/>
      <c r="J13" s="74" t="s">
        <v>57</v>
      </c>
      <c r="K13" s="75" t="s">
        <v>58</v>
      </c>
      <c r="L13" s="76" t="s">
        <v>59</v>
      </c>
      <c r="M13" s="66"/>
    </row>
    <row r="14" spans="1:13" x14ac:dyDescent="0.2">
      <c r="A14" s="39">
        <v>30</v>
      </c>
      <c r="B14" s="33">
        <f t="shared" si="1"/>
        <v>856.12874999999985</v>
      </c>
      <c r="C14" s="34">
        <f t="shared" si="2"/>
        <v>882.32142857142867</v>
      </c>
      <c r="D14" s="94">
        <f t="shared" si="3"/>
        <v>277.04892857142858</v>
      </c>
      <c r="E14" s="39">
        <v>30</v>
      </c>
      <c r="F14" s="33">
        <f t="shared" si="4"/>
        <v>1703.8564374999999</v>
      </c>
      <c r="G14" s="91">
        <f t="shared" si="0"/>
        <v>535.01092137499995</v>
      </c>
      <c r="I14" s="132" t="s">
        <v>60</v>
      </c>
      <c r="J14" s="134">
        <f>IF(L8&gt;=J4,L8,J4)</f>
        <v>1215.9000000000001</v>
      </c>
      <c r="K14" s="136">
        <v>23.6</v>
      </c>
      <c r="L14" s="138">
        <f>J14*K14%</f>
        <v>286.95240000000007</v>
      </c>
      <c r="M14" s="66"/>
    </row>
    <row r="15" spans="1:13" ht="15" thickBot="1" x14ac:dyDescent="0.25">
      <c r="A15" s="39">
        <v>29</v>
      </c>
      <c r="B15" s="33">
        <f t="shared" si="1"/>
        <v>827.59112499999992</v>
      </c>
      <c r="C15" s="34">
        <f t="shared" si="2"/>
        <v>852.91071428571445</v>
      </c>
      <c r="D15" s="94">
        <f t="shared" si="3"/>
        <v>267.81396428571435</v>
      </c>
      <c r="E15" s="39">
        <v>29</v>
      </c>
      <c r="F15" s="33">
        <f t="shared" si="4"/>
        <v>1647.0612229166666</v>
      </c>
      <c r="G15" s="91">
        <f t="shared" si="0"/>
        <v>517.17722399583329</v>
      </c>
      <c r="I15" s="133"/>
      <c r="J15" s="135"/>
      <c r="K15" s="137"/>
      <c r="L15" s="139"/>
      <c r="M15" s="66"/>
    </row>
    <row r="16" spans="1:13" x14ac:dyDescent="0.2">
      <c r="A16" s="39">
        <v>28</v>
      </c>
      <c r="B16" s="33">
        <f t="shared" si="1"/>
        <v>799.05349999999987</v>
      </c>
      <c r="C16" s="34">
        <f t="shared" si="2"/>
        <v>823.5</v>
      </c>
      <c r="D16" s="94">
        <f t="shared" si="3"/>
        <v>258.57900000000001</v>
      </c>
      <c r="E16" s="39">
        <v>28</v>
      </c>
      <c r="F16" s="33">
        <f t="shared" si="4"/>
        <v>1590.266008333333</v>
      </c>
      <c r="G16" s="91">
        <f t="shared" si="0"/>
        <v>499.34352661666657</v>
      </c>
      <c r="I16" s="140" t="s">
        <v>61</v>
      </c>
      <c r="J16" s="134">
        <f>IF(L8&gt;=L4,L8,L4)</f>
        <v>1050</v>
      </c>
      <c r="K16" s="136">
        <v>7.8</v>
      </c>
      <c r="L16" s="142">
        <f>J16*K16%</f>
        <v>81.900000000000006</v>
      </c>
      <c r="M16" s="66"/>
    </row>
    <row r="17" spans="1:13" ht="15" thickBot="1" x14ac:dyDescent="0.25">
      <c r="A17" s="39">
        <v>27</v>
      </c>
      <c r="B17" s="33">
        <f t="shared" si="1"/>
        <v>770.51587499999994</v>
      </c>
      <c r="C17" s="34">
        <f t="shared" si="2"/>
        <v>794.08928571428567</v>
      </c>
      <c r="D17" s="94">
        <f t="shared" si="3"/>
        <v>249.3440357142857</v>
      </c>
      <c r="E17" s="39">
        <v>27</v>
      </c>
      <c r="F17" s="33">
        <f t="shared" si="4"/>
        <v>1533.4707937499998</v>
      </c>
      <c r="G17" s="91">
        <f t="shared" si="0"/>
        <v>481.5098292374999</v>
      </c>
      <c r="I17" s="141"/>
      <c r="J17" s="135"/>
      <c r="K17" s="137">
        <v>0.2</v>
      </c>
      <c r="L17" s="143"/>
      <c r="M17" s="66"/>
    </row>
    <row r="18" spans="1:13" ht="15" customHeight="1" thickBot="1" x14ac:dyDescent="0.25">
      <c r="A18" s="39">
        <v>26</v>
      </c>
      <c r="B18" s="33">
        <f t="shared" si="1"/>
        <v>741.97824999999989</v>
      </c>
      <c r="C18" s="34">
        <f t="shared" si="2"/>
        <v>764.67857142857156</v>
      </c>
      <c r="D18" s="94">
        <f t="shared" si="3"/>
        <v>240.10907142857147</v>
      </c>
      <c r="E18" s="39">
        <v>26</v>
      </c>
      <c r="F18" s="33">
        <f t="shared" si="4"/>
        <v>1476.6755791666665</v>
      </c>
      <c r="G18" s="91">
        <f t="shared" si="0"/>
        <v>463.67613185833329</v>
      </c>
      <c r="I18" s="144" t="s">
        <v>62</v>
      </c>
      <c r="J18" s="145"/>
      <c r="K18" s="77">
        <f>(K14+K16)</f>
        <v>31.400000000000002</v>
      </c>
      <c r="L18" s="78">
        <f>SUM(L14:L17)</f>
        <v>368.8524000000001</v>
      </c>
      <c r="M18" s="66"/>
    </row>
    <row r="19" spans="1:13" x14ac:dyDescent="0.2">
      <c r="A19" s="39">
        <v>25</v>
      </c>
      <c r="B19" s="33">
        <f t="shared" si="1"/>
        <v>713.44062499999995</v>
      </c>
      <c r="C19" s="34">
        <f t="shared" si="2"/>
        <v>735.26785714285711</v>
      </c>
      <c r="D19" s="94">
        <f t="shared" si="3"/>
        <v>230.87410714285713</v>
      </c>
      <c r="E19" s="39">
        <v>25</v>
      </c>
      <c r="F19" s="33">
        <f t="shared" si="4"/>
        <v>1419.8803645833332</v>
      </c>
      <c r="G19" s="91">
        <f t="shared" si="0"/>
        <v>445.84243447916663</v>
      </c>
      <c r="I19" s="79"/>
      <c r="J19" s="80"/>
      <c r="K19" s="81"/>
      <c r="L19" s="82"/>
      <c r="M19" s="66"/>
    </row>
    <row r="20" spans="1:13" ht="14.25" customHeight="1" x14ac:dyDescent="0.2">
      <c r="A20" s="39">
        <v>24</v>
      </c>
      <c r="B20" s="33">
        <f t="shared" si="1"/>
        <v>684.90299999999991</v>
      </c>
      <c r="C20" s="34">
        <f t="shared" si="2"/>
        <v>705.85714285714289</v>
      </c>
      <c r="D20" s="94">
        <f t="shared" si="3"/>
        <v>221.63914285714287</v>
      </c>
      <c r="E20" s="39">
        <v>24</v>
      </c>
      <c r="F20" s="33">
        <f t="shared" si="4"/>
        <v>1363.0851499999997</v>
      </c>
      <c r="G20" s="91">
        <f t="shared" si="0"/>
        <v>428.00873709999991</v>
      </c>
      <c r="I20" s="146" t="s">
        <v>63</v>
      </c>
      <c r="J20" s="146"/>
      <c r="K20" s="146"/>
      <c r="L20" s="146"/>
      <c r="M20" s="146"/>
    </row>
    <row r="21" spans="1:13" x14ac:dyDescent="0.2">
      <c r="A21" s="39">
        <v>23</v>
      </c>
      <c r="B21" s="33">
        <f t="shared" si="1"/>
        <v>656.36537499999997</v>
      </c>
      <c r="C21" s="34">
        <f t="shared" si="2"/>
        <v>676.44642857142856</v>
      </c>
      <c r="D21" s="94">
        <f t="shared" si="3"/>
        <v>212.40417857142856</v>
      </c>
      <c r="E21" s="39">
        <v>23</v>
      </c>
      <c r="F21" s="33">
        <f t="shared" si="4"/>
        <v>1306.2899354166664</v>
      </c>
      <c r="G21" s="91">
        <f t="shared" si="0"/>
        <v>410.17503972083324</v>
      </c>
      <c r="I21" s="146"/>
      <c r="J21" s="146"/>
      <c r="K21" s="146"/>
      <c r="L21" s="146"/>
      <c r="M21" s="146"/>
    </row>
    <row r="22" spans="1:13" ht="15" thickBot="1" x14ac:dyDescent="0.25">
      <c r="A22" s="39">
        <v>22</v>
      </c>
      <c r="B22" s="33">
        <f t="shared" si="1"/>
        <v>627.82774999999992</v>
      </c>
      <c r="C22" s="34">
        <f t="shared" si="2"/>
        <v>647.03571428571433</v>
      </c>
      <c r="D22" s="94">
        <f t="shared" si="3"/>
        <v>203.1692142857143</v>
      </c>
      <c r="E22" s="39">
        <v>22</v>
      </c>
      <c r="F22" s="33">
        <f t="shared" si="4"/>
        <v>1249.4947208333331</v>
      </c>
      <c r="G22" s="91">
        <f t="shared" si="0"/>
        <v>392.34134234166658</v>
      </c>
      <c r="I22" s="65"/>
      <c r="J22" s="68"/>
      <c r="K22" s="66"/>
      <c r="L22" s="67"/>
      <c r="M22" s="66"/>
    </row>
    <row r="23" spans="1:13" ht="14.25" customHeight="1" x14ac:dyDescent="0.2">
      <c r="A23" s="39">
        <v>21</v>
      </c>
      <c r="B23" s="33">
        <f t="shared" si="1"/>
        <v>599.29012499999988</v>
      </c>
      <c r="C23" s="34">
        <f t="shared" si="2"/>
        <v>617.625</v>
      </c>
      <c r="D23" s="94">
        <f t="shared" si="3"/>
        <v>193.93424999999999</v>
      </c>
      <c r="E23" s="39">
        <v>21</v>
      </c>
      <c r="F23" s="33">
        <f t="shared" si="4"/>
        <v>1192.6995062499998</v>
      </c>
      <c r="G23" s="91">
        <f t="shared" si="0"/>
        <v>374.50764496249991</v>
      </c>
      <c r="I23" s="122" t="s">
        <v>64</v>
      </c>
      <c r="J23" s="122"/>
      <c r="K23" s="123"/>
      <c r="L23" s="147">
        <v>0</v>
      </c>
      <c r="M23" s="66"/>
    </row>
    <row r="24" spans="1:13" ht="15" thickBot="1" x14ac:dyDescent="0.25">
      <c r="A24" s="39">
        <v>20</v>
      </c>
      <c r="B24" s="33">
        <f t="shared" si="1"/>
        <v>570.75249999999994</v>
      </c>
      <c r="C24" s="34">
        <f t="shared" si="2"/>
        <v>588.21428571428567</v>
      </c>
      <c r="D24" s="94">
        <f t="shared" si="3"/>
        <v>184.69928571428571</v>
      </c>
      <c r="E24" s="39">
        <v>20</v>
      </c>
      <c r="F24" s="33">
        <f t="shared" si="4"/>
        <v>1135.9042916666665</v>
      </c>
      <c r="G24" s="91">
        <f t="shared" si="0"/>
        <v>356.6739475833333</v>
      </c>
      <c r="I24" s="122"/>
      <c r="J24" s="122"/>
      <c r="K24" s="123"/>
      <c r="L24" s="148"/>
      <c r="M24" s="66"/>
    </row>
    <row r="25" spans="1:13" ht="15" thickBot="1" x14ac:dyDescent="0.25">
      <c r="A25" s="39">
        <v>19</v>
      </c>
      <c r="B25" s="33">
        <f t="shared" si="1"/>
        <v>542.21487499999989</v>
      </c>
      <c r="C25" s="34">
        <f t="shared" si="2"/>
        <v>558.80357142857156</v>
      </c>
      <c r="D25" s="94">
        <f t="shared" si="3"/>
        <v>175.46432142857148</v>
      </c>
      <c r="E25" s="39">
        <v>19</v>
      </c>
      <c r="F25" s="33">
        <f t="shared" si="4"/>
        <v>1079.1090770833332</v>
      </c>
      <c r="G25" s="91">
        <f t="shared" si="0"/>
        <v>338.84025020416664</v>
      </c>
      <c r="I25" s="65"/>
      <c r="J25" s="68"/>
      <c r="K25" s="66"/>
      <c r="L25" s="67"/>
      <c r="M25" s="66"/>
    </row>
    <row r="26" spans="1:13" ht="14.25" customHeight="1" x14ac:dyDescent="0.2">
      <c r="A26" s="39">
        <v>18</v>
      </c>
      <c r="B26" s="33">
        <f t="shared" si="1"/>
        <v>513.67724999999996</v>
      </c>
      <c r="C26" s="34">
        <f t="shared" si="2"/>
        <v>529.39285714285711</v>
      </c>
      <c r="D26" s="94">
        <f t="shared" si="3"/>
        <v>166.22935714285714</v>
      </c>
      <c r="E26" s="39">
        <v>18</v>
      </c>
      <c r="F26" s="33">
        <f t="shared" si="4"/>
        <v>1022.3138624999998</v>
      </c>
      <c r="G26" s="91">
        <f t="shared" si="0"/>
        <v>321.00655282499991</v>
      </c>
      <c r="I26" s="122" t="s">
        <v>65</v>
      </c>
      <c r="J26" s="122"/>
      <c r="K26" s="123"/>
      <c r="L26" s="124">
        <v>0</v>
      </c>
      <c r="M26" s="66"/>
    </row>
    <row r="27" spans="1:13" ht="15" thickBot="1" x14ac:dyDescent="0.25">
      <c r="A27" s="39">
        <v>17</v>
      </c>
      <c r="B27" s="33">
        <f t="shared" si="1"/>
        <v>485.13962499999997</v>
      </c>
      <c r="C27" s="34">
        <f t="shared" si="2"/>
        <v>499.98214285714289</v>
      </c>
      <c r="D27" s="94">
        <f t="shared" si="3"/>
        <v>156.99439285714286</v>
      </c>
      <c r="E27" s="39">
        <v>17</v>
      </c>
      <c r="F27" s="33">
        <f t="shared" si="4"/>
        <v>965.51864791666651</v>
      </c>
      <c r="G27" s="91">
        <f t="shared" si="0"/>
        <v>303.17285544583331</v>
      </c>
      <c r="I27" s="122"/>
      <c r="J27" s="122"/>
      <c r="K27" s="123"/>
      <c r="L27" s="125"/>
      <c r="M27" s="66"/>
    </row>
    <row r="28" spans="1:13" ht="15" thickBot="1" x14ac:dyDescent="0.25">
      <c r="A28" s="39">
        <v>16</v>
      </c>
      <c r="B28" s="33">
        <f t="shared" si="1"/>
        <v>456.60199999999998</v>
      </c>
      <c r="C28" s="34">
        <f t="shared" si="2"/>
        <v>470.57142857142856</v>
      </c>
      <c r="D28" s="94">
        <f t="shared" si="3"/>
        <v>147.75942857142857</v>
      </c>
      <c r="E28" s="39">
        <v>16</v>
      </c>
      <c r="F28" s="33">
        <f t="shared" si="4"/>
        <v>908.72343333333322</v>
      </c>
      <c r="G28" s="91">
        <f t="shared" si="0"/>
        <v>285.33915806666664</v>
      </c>
      <c r="I28" s="65"/>
      <c r="J28" s="68"/>
      <c r="K28" s="66"/>
      <c r="L28" s="67"/>
      <c r="M28" s="66"/>
    </row>
    <row r="29" spans="1:13" ht="14.25" customHeight="1" x14ac:dyDescent="0.2">
      <c r="A29" s="39">
        <v>15</v>
      </c>
      <c r="B29" s="33">
        <f t="shared" si="1"/>
        <v>428.06437499999993</v>
      </c>
      <c r="C29" s="34">
        <f t="shared" si="2"/>
        <v>441.16071428571433</v>
      </c>
      <c r="D29" s="94">
        <f t="shared" si="3"/>
        <v>138.52446428571429</v>
      </c>
      <c r="E29" s="39">
        <v>15</v>
      </c>
      <c r="F29" s="33">
        <f t="shared" si="4"/>
        <v>851.92821874999993</v>
      </c>
      <c r="G29" s="91">
        <f t="shared" si="0"/>
        <v>267.50546068749998</v>
      </c>
      <c r="I29" s="126" t="s">
        <v>66</v>
      </c>
      <c r="J29" s="127"/>
      <c r="K29" s="127"/>
      <c r="L29" s="128"/>
      <c r="M29" s="66"/>
    </row>
    <row r="30" spans="1:13" ht="15" thickBot="1" x14ac:dyDescent="0.25">
      <c r="A30" s="39">
        <v>14</v>
      </c>
      <c r="B30" s="33">
        <f t="shared" si="1"/>
        <v>399.52674999999994</v>
      </c>
      <c r="C30" s="34">
        <f t="shared" si="2"/>
        <v>411.75</v>
      </c>
      <c r="D30" s="94">
        <f t="shared" si="3"/>
        <v>129.2895</v>
      </c>
      <c r="E30" s="39">
        <v>14</v>
      </c>
      <c r="F30" s="33">
        <f t="shared" si="4"/>
        <v>795.13300416666652</v>
      </c>
      <c r="G30" s="91">
        <f t="shared" si="0"/>
        <v>249.67176330833328</v>
      </c>
      <c r="I30" s="129"/>
      <c r="J30" s="130"/>
      <c r="K30" s="130"/>
      <c r="L30" s="131"/>
      <c r="M30" s="66"/>
    </row>
    <row r="31" spans="1:13" ht="15" thickBot="1" x14ac:dyDescent="0.25">
      <c r="A31" s="39">
        <v>13</v>
      </c>
      <c r="B31" s="33">
        <f t="shared" si="1"/>
        <v>370.98912499999994</v>
      </c>
      <c r="C31" s="34">
        <f t="shared" si="2"/>
        <v>382.33928571428578</v>
      </c>
      <c r="D31" s="94">
        <f t="shared" si="3"/>
        <v>120.05453571428573</v>
      </c>
      <c r="E31" s="39">
        <v>13</v>
      </c>
      <c r="F31" s="33">
        <f t="shared" si="4"/>
        <v>738.33778958333323</v>
      </c>
      <c r="G31" s="91">
        <f t="shared" si="0"/>
        <v>231.83806592916665</v>
      </c>
      <c r="I31" s="83" t="s">
        <v>67</v>
      </c>
      <c r="J31" s="84" t="s">
        <v>57</v>
      </c>
      <c r="K31" s="75" t="s">
        <v>68</v>
      </c>
      <c r="L31" s="76" t="s">
        <v>59</v>
      </c>
      <c r="M31" s="66"/>
    </row>
    <row r="32" spans="1:13" x14ac:dyDescent="0.2">
      <c r="A32" s="39">
        <v>12</v>
      </c>
      <c r="B32" s="33">
        <f t="shared" si="1"/>
        <v>342.45149999999995</v>
      </c>
      <c r="C32" s="34">
        <f t="shared" si="2"/>
        <v>352.92857142857144</v>
      </c>
      <c r="D32" s="94">
        <f t="shared" si="3"/>
        <v>110.81957142857144</v>
      </c>
      <c r="E32" s="39">
        <v>12</v>
      </c>
      <c r="F32" s="33">
        <f t="shared" si="4"/>
        <v>681.54257499999983</v>
      </c>
      <c r="G32" s="91">
        <f t="shared" si="0"/>
        <v>214.00436854999995</v>
      </c>
      <c r="I32" s="154">
        <f>((L23/40*7.5*5)/7)*30*$C$46</f>
        <v>0</v>
      </c>
      <c r="J32" s="156">
        <f>IF(L26&lt;I32,I32,L26)</f>
        <v>0</v>
      </c>
      <c r="K32" s="158">
        <v>31.4</v>
      </c>
      <c r="L32" s="142">
        <f>J32*K32%</f>
        <v>0</v>
      </c>
      <c r="M32" s="66"/>
    </row>
    <row r="33" spans="1:13" ht="15" thickBot="1" x14ac:dyDescent="0.25">
      <c r="A33" s="39">
        <v>11</v>
      </c>
      <c r="B33" s="33">
        <f t="shared" si="1"/>
        <v>313.91387499999996</v>
      </c>
      <c r="C33" s="34">
        <f t="shared" si="2"/>
        <v>323.51785714285717</v>
      </c>
      <c r="D33" s="94">
        <f t="shared" si="3"/>
        <v>101.58460714285715</v>
      </c>
      <c r="E33" s="39">
        <v>11</v>
      </c>
      <c r="F33" s="33">
        <f t="shared" si="4"/>
        <v>624.74736041666654</v>
      </c>
      <c r="G33" s="91">
        <f t="shared" si="0"/>
        <v>196.17067117083329</v>
      </c>
      <c r="I33" s="155"/>
      <c r="J33" s="157"/>
      <c r="K33" s="159"/>
      <c r="L33" s="160"/>
      <c r="M33" s="66"/>
    </row>
    <row r="34" spans="1:13" ht="15" customHeight="1" thickBot="1" x14ac:dyDescent="0.25">
      <c r="A34" s="39">
        <v>10</v>
      </c>
      <c r="B34" s="33">
        <f t="shared" si="1"/>
        <v>285.37624999999997</v>
      </c>
      <c r="C34" s="34">
        <f t="shared" si="2"/>
        <v>294.10714285714283</v>
      </c>
      <c r="D34" s="94">
        <f t="shared" si="3"/>
        <v>92.349642857142854</v>
      </c>
      <c r="E34" s="39">
        <v>10</v>
      </c>
      <c r="F34" s="33">
        <f t="shared" si="4"/>
        <v>567.95214583333325</v>
      </c>
      <c r="G34" s="91">
        <f t="shared" si="0"/>
        <v>178.33697379166665</v>
      </c>
      <c r="I34" s="149" t="s">
        <v>69</v>
      </c>
      <c r="J34" s="150"/>
      <c r="K34" s="151"/>
      <c r="L34" s="78">
        <f>SUM(L32)</f>
        <v>0</v>
      </c>
      <c r="M34" s="66"/>
    </row>
    <row r="35" spans="1:13" x14ac:dyDescent="0.2">
      <c r="A35" s="39">
        <v>9</v>
      </c>
      <c r="B35" s="33">
        <f t="shared" si="1"/>
        <v>256.83862499999998</v>
      </c>
      <c r="C35" s="34">
        <f t="shared" si="2"/>
        <v>264.69642857142856</v>
      </c>
      <c r="D35" s="94">
        <f t="shared" si="3"/>
        <v>83.11467857142857</v>
      </c>
      <c r="E35" s="39">
        <v>9</v>
      </c>
      <c r="F35" s="33">
        <f t="shared" si="4"/>
        <v>511.1569312499999</v>
      </c>
      <c r="G35" s="91">
        <f t="shared" si="0"/>
        <v>160.50327641249996</v>
      </c>
      <c r="I35" s="65"/>
      <c r="J35" s="68"/>
      <c r="K35" s="66"/>
      <c r="L35" s="67"/>
      <c r="M35" s="66"/>
    </row>
    <row r="36" spans="1:13" ht="14.25" customHeight="1" x14ac:dyDescent="0.2">
      <c r="A36" s="39">
        <v>8</v>
      </c>
      <c r="B36" s="33">
        <f t="shared" si="1"/>
        <v>228.30099999999999</v>
      </c>
      <c r="C36" s="34">
        <f t="shared" si="2"/>
        <v>235.28571428571428</v>
      </c>
      <c r="D36" s="94">
        <f t="shared" si="3"/>
        <v>73.879714285714286</v>
      </c>
      <c r="E36" s="39">
        <v>8</v>
      </c>
      <c r="F36" s="33">
        <f t="shared" si="4"/>
        <v>454.36171666666661</v>
      </c>
      <c r="G36" s="91">
        <f t="shared" si="0"/>
        <v>142.66957903333332</v>
      </c>
      <c r="I36" s="152" t="s">
        <v>70</v>
      </c>
      <c r="J36" s="152"/>
      <c r="K36" s="152"/>
      <c r="L36" s="152"/>
      <c r="M36" s="153" t="s">
        <v>71</v>
      </c>
    </row>
    <row r="37" spans="1:13" x14ac:dyDescent="0.2">
      <c r="A37" s="39">
        <v>7</v>
      </c>
      <c r="B37" s="33">
        <f t="shared" si="1"/>
        <v>199.76337499999997</v>
      </c>
      <c r="C37" s="34">
        <f t="shared" si="2"/>
        <v>205.875</v>
      </c>
      <c r="D37" s="94">
        <f t="shared" si="3"/>
        <v>64.644750000000002</v>
      </c>
      <c r="E37" s="39">
        <v>7</v>
      </c>
      <c r="F37" s="33">
        <f t="shared" si="4"/>
        <v>397.56650208333326</v>
      </c>
      <c r="G37" s="91">
        <f t="shared" si="0"/>
        <v>124.83588165416664</v>
      </c>
      <c r="I37" s="152"/>
      <c r="J37" s="152"/>
      <c r="K37" s="152"/>
      <c r="L37" s="152"/>
      <c r="M37" s="153"/>
    </row>
    <row r="38" spans="1:13" x14ac:dyDescent="0.2">
      <c r="A38" s="39">
        <v>6</v>
      </c>
      <c r="B38" s="33">
        <f t="shared" si="1"/>
        <v>171.22574999999998</v>
      </c>
      <c r="C38" s="34">
        <f t="shared" si="2"/>
        <v>176.46428571428572</v>
      </c>
      <c r="D38" s="94">
        <f t="shared" si="3"/>
        <v>55.409785714285718</v>
      </c>
      <c r="E38" s="39">
        <v>6</v>
      </c>
      <c r="F38" s="33">
        <f t="shared" si="4"/>
        <v>340.77128749999991</v>
      </c>
      <c r="G38" s="91">
        <f t="shared" si="0"/>
        <v>107.00218427499998</v>
      </c>
      <c r="K38" s="32"/>
    </row>
    <row r="39" spans="1:13" x14ac:dyDescent="0.2">
      <c r="A39" s="39">
        <v>5</v>
      </c>
      <c r="B39" s="33">
        <f t="shared" si="1"/>
        <v>142.68812499999999</v>
      </c>
      <c r="C39" s="34">
        <f t="shared" si="2"/>
        <v>147.05357142857142</v>
      </c>
      <c r="D39" s="94">
        <f t="shared" si="3"/>
        <v>46.174821428571427</v>
      </c>
      <c r="E39" s="39">
        <v>5</v>
      </c>
      <c r="F39" s="33">
        <f t="shared" si="4"/>
        <v>283.97607291666662</v>
      </c>
      <c r="G39" s="91">
        <f t="shared" si="0"/>
        <v>89.168486895833325</v>
      </c>
      <c r="K39" s="32"/>
    </row>
    <row r="40" spans="1:13" x14ac:dyDescent="0.2">
      <c r="A40" s="39">
        <v>4</v>
      </c>
      <c r="B40" s="33">
        <f t="shared" si="1"/>
        <v>114.15049999999999</v>
      </c>
      <c r="C40" s="34">
        <f t="shared" si="2"/>
        <v>117.64285714285714</v>
      </c>
      <c r="D40" s="94">
        <f t="shared" si="3"/>
        <v>36.939857142857143</v>
      </c>
      <c r="E40" s="39">
        <v>4</v>
      </c>
      <c r="F40" s="33">
        <f t="shared" si="4"/>
        <v>227.1808583333333</v>
      </c>
      <c r="G40" s="91">
        <f t="shared" si="0"/>
        <v>71.33478951666666</v>
      </c>
      <c r="K40" s="32"/>
    </row>
    <row r="41" spans="1:13" x14ac:dyDescent="0.2">
      <c r="A41" s="39">
        <v>3</v>
      </c>
      <c r="B41" s="33">
        <f t="shared" si="1"/>
        <v>85.612874999999988</v>
      </c>
      <c r="C41" s="34">
        <f t="shared" si="2"/>
        <v>88.232142857142861</v>
      </c>
      <c r="D41" s="94">
        <f t="shared" si="3"/>
        <v>27.704892857142859</v>
      </c>
      <c r="E41" s="39">
        <v>3</v>
      </c>
      <c r="F41" s="33">
        <f t="shared" si="4"/>
        <v>170.38564374999996</v>
      </c>
      <c r="G41" s="91">
        <f t="shared" si="0"/>
        <v>53.501092137499988</v>
      </c>
      <c r="K41" s="32"/>
    </row>
    <row r="42" spans="1:13" x14ac:dyDescent="0.2">
      <c r="A42" s="39">
        <v>2</v>
      </c>
      <c r="B42" s="33">
        <f t="shared" si="1"/>
        <v>57.075249999999997</v>
      </c>
      <c r="C42" s="34">
        <f t="shared" si="2"/>
        <v>58.821428571428569</v>
      </c>
      <c r="D42" s="94">
        <f t="shared" si="3"/>
        <v>18.469928571428571</v>
      </c>
      <c r="E42" s="39">
        <v>2</v>
      </c>
      <c r="F42" s="33">
        <f t="shared" si="4"/>
        <v>113.59042916666665</v>
      </c>
      <c r="G42" s="91">
        <f t="shared" si="0"/>
        <v>35.66739475833333</v>
      </c>
      <c r="K42" s="32"/>
    </row>
    <row r="43" spans="1:13" ht="15" thickBot="1" x14ac:dyDescent="0.25">
      <c r="A43" s="100">
        <v>1</v>
      </c>
      <c r="B43" s="97">
        <f t="shared" si="1"/>
        <v>28.537624999999998</v>
      </c>
      <c r="C43" s="98">
        <f t="shared" si="2"/>
        <v>29.410714285714285</v>
      </c>
      <c r="D43" s="99">
        <f t="shared" si="3"/>
        <v>9.2349642857142857</v>
      </c>
      <c r="E43" s="101">
        <v>1</v>
      </c>
      <c r="F43" s="35">
        <f t="shared" si="4"/>
        <v>56.795214583333326</v>
      </c>
      <c r="G43" s="92">
        <f t="shared" si="0"/>
        <v>17.833697379166665</v>
      </c>
      <c r="K43" s="32"/>
    </row>
    <row r="46" spans="1:13" s="53" customFormat="1" ht="57.75" hidden="1" thickBot="1" x14ac:dyDescent="0.25">
      <c r="A46" s="50"/>
      <c r="B46" s="51" t="s">
        <v>42</v>
      </c>
      <c r="C46" s="52">
        <v>7.32</v>
      </c>
      <c r="D46" s="50"/>
      <c r="E46" s="85"/>
      <c r="K46" s="54"/>
    </row>
  </sheetData>
  <sheetProtection algorithmName="SHA-512" hashValue="/cLVu7SLDcq85FocRWsWDh9wATmZXdV5F0WQH1+IUxEOazT8JjgFZMc7m3jb+DEsa+mkMGJPBo7sESbzvId+7Q==" saltValue="WVWFnqhPCRKIIJudrtvWZw==" spinCount="100000" sheet="1" objects="1" scenarios="1"/>
  <protectedRanges>
    <protectedRange sqref="L8" name="RET TC_1_1"/>
    <protectedRange sqref="L23" name="DED_1_1"/>
    <protectedRange sqref="L26" name="RET TP_1_1"/>
    <protectedRange sqref="M36" name="CALCULO RC_1_1"/>
  </protectedRanges>
  <mergeCells count="41">
    <mergeCell ref="I34:K34"/>
    <mergeCell ref="I36:L37"/>
    <mergeCell ref="M36:M37"/>
    <mergeCell ref="I29:L30"/>
    <mergeCell ref="I32:I33"/>
    <mergeCell ref="J32:J33"/>
    <mergeCell ref="K32:K33"/>
    <mergeCell ref="L32:L33"/>
    <mergeCell ref="I20:M21"/>
    <mergeCell ref="I23:K24"/>
    <mergeCell ref="L23:L24"/>
    <mergeCell ref="I26:K27"/>
    <mergeCell ref="L26:L27"/>
    <mergeCell ref="I16:I17"/>
    <mergeCell ref="J16:J17"/>
    <mergeCell ref="K16:K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I2:K2"/>
    <mergeCell ref="L2:M2"/>
    <mergeCell ref="I4:I5"/>
    <mergeCell ref="J4:J5"/>
    <mergeCell ref="K4:K5"/>
    <mergeCell ref="L4:L5"/>
    <mergeCell ref="M4:M5"/>
    <mergeCell ref="F1:G1"/>
    <mergeCell ref="B1:D1"/>
    <mergeCell ref="A2:A3"/>
    <mergeCell ref="B2:B3"/>
    <mergeCell ref="C2:C3"/>
    <mergeCell ref="D2:D3"/>
    <mergeCell ref="E2:E3"/>
    <mergeCell ref="F2:F3"/>
    <mergeCell ref="G2:G3"/>
  </mergeCells>
  <phoneticPr fontId="0" type="noConversion"/>
  <hyperlinks>
    <hyperlink ref="M36" r:id="rId1"/>
    <hyperlink ref="M36:M37" r:id="rId2" display="CALCULO RC"/>
  </hyperlinks>
  <pageMargins left="0.75" right="0.75" top="1" bottom="1" header="0" footer="0"/>
  <pageSetup paperSize="9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D30" sqref="D30"/>
    </sheetView>
  </sheetViews>
  <sheetFormatPr baseColWidth="10" defaultRowHeight="12.75" x14ac:dyDescent="0.2"/>
  <cols>
    <col min="1" max="1" width="25.140625" style="1" bestFit="1" customWidth="1"/>
    <col min="2" max="2" width="21.28515625" style="1" bestFit="1" customWidth="1"/>
    <col min="3" max="3" width="20.42578125" style="104" hidden="1" customWidth="1"/>
    <col min="4" max="4" width="20" style="1" customWidth="1"/>
    <col min="5" max="5" width="6.85546875" customWidth="1"/>
    <col min="6" max="6" width="6.85546875" bestFit="1" customWidth="1"/>
    <col min="7" max="7" width="24" customWidth="1"/>
    <col min="8" max="8" width="19.7109375" customWidth="1"/>
    <col min="9" max="9" width="24.42578125" customWidth="1"/>
    <col min="10" max="10" width="19.85546875" customWidth="1"/>
    <col min="11" max="11" width="17.5703125" customWidth="1"/>
  </cols>
  <sheetData>
    <row r="1" spans="1:11" ht="43.15" customHeight="1" x14ac:dyDescent="0.2">
      <c r="A1" s="161" t="s">
        <v>0</v>
      </c>
      <c r="B1" s="112" t="s">
        <v>47</v>
      </c>
      <c r="C1" s="163" t="s">
        <v>75</v>
      </c>
      <c r="D1" s="116" t="s">
        <v>72</v>
      </c>
      <c r="G1" s="165" t="s">
        <v>48</v>
      </c>
      <c r="H1" s="166"/>
      <c r="I1" s="167"/>
      <c r="J1" s="165" t="s">
        <v>49</v>
      </c>
      <c r="K1" s="167"/>
    </row>
    <row r="2" spans="1:11" ht="23.25" thickBot="1" x14ac:dyDescent="0.25">
      <c r="A2" s="162"/>
      <c r="B2" s="113"/>
      <c r="C2" s="164"/>
      <c r="D2" s="117"/>
      <c r="G2" s="63" t="s">
        <v>50</v>
      </c>
      <c r="H2" s="63" t="s">
        <v>51</v>
      </c>
      <c r="I2" s="63" t="s">
        <v>52</v>
      </c>
      <c r="J2" s="64" t="s">
        <v>53</v>
      </c>
      <c r="K2" s="63" t="s">
        <v>54</v>
      </c>
    </row>
    <row r="3" spans="1:11" ht="14.25" x14ac:dyDescent="0.2">
      <c r="A3" s="40">
        <v>40</v>
      </c>
      <c r="B3" s="33">
        <f>PARAMETROS!B5</f>
        <v>2192.3416666666667</v>
      </c>
      <c r="C3" s="60"/>
      <c r="D3" s="33"/>
      <c r="G3" s="168">
        <v>5</v>
      </c>
      <c r="H3" s="170">
        <v>1050</v>
      </c>
      <c r="I3" s="170">
        <v>4070.1</v>
      </c>
      <c r="J3" s="172">
        <v>1050</v>
      </c>
      <c r="K3" s="172">
        <v>4070.1</v>
      </c>
    </row>
    <row r="4" spans="1:11" ht="14.25" x14ac:dyDescent="0.2">
      <c r="A4" s="40">
        <v>39</v>
      </c>
      <c r="B4" s="33">
        <f>PRODUCT(PARAMETROS!B$5,A4)/A$3</f>
        <v>2137.5331249999999</v>
      </c>
      <c r="C4" s="60">
        <f>(A4/$A$3*7.5*5)/7*30*$C$46</f>
        <v>991.88839285714278</v>
      </c>
      <c r="D4" s="33">
        <f>IF(B4&lt;C4,C4*$I$17%,B4*$I$17%)</f>
        <v>671.18540124999993</v>
      </c>
      <c r="G4" s="169"/>
      <c r="H4" s="171"/>
      <c r="I4" s="171"/>
      <c r="J4" s="173"/>
      <c r="K4" s="173"/>
    </row>
    <row r="5" spans="1:11" ht="14.25" x14ac:dyDescent="0.2">
      <c r="A5" s="40">
        <v>38</v>
      </c>
      <c r="B5" s="33">
        <f>PRODUCT(PARAMETROS!B$5,A5)/A$3</f>
        <v>2082.7245833333336</v>
      </c>
      <c r="C5" s="60">
        <f t="shared" ref="C5:C42" si="0">(A5/$A$3*7.5*5)/7*30*$C$46</f>
        <v>966.45535714285722</v>
      </c>
      <c r="D5" s="33">
        <f t="shared" ref="D5:D42" si="1">IF(B5&lt;C5,C5*$I$17%,B5*$I$17%)</f>
        <v>653.9755191666668</v>
      </c>
      <c r="G5" s="65"/>
      <c r="H5" s="66"/>
      <c r="I5" s="66"/>
      <c r="J5" s="67"/>
      <c r="K5" s="66"/>
    </row>
    <row r="6" spans="1:11" ht="15" thickBot="1" x14ac:dyDescent="0.25">
      <c r="A6" s="40">
        <v>37</v>
      </c>
      <c r="B6" s="33">
        <f>PRODUCT(PARAMETROS!B$5,A6)/A$3</f>
        <v>2027.9160416666666</v>
      </c>
      <c r="C6" s="60">
        <f t="shared" si="0"/>
        <v>941.02232142857156</v>
      </c>
      <c r="D6" s="33">
        <f t="shared" si="1"/>
        <v>636.76563708333333</v>
      </c>
      <c r="G6" s="65"/>
      <c r="H6" s="68"/>
      <c r="I6" s="66"/>
      <c r="J6" s="67"/>
      <c r="K6" s="66"/>
    </row>
    <row r="7" spans="1:11" ht="14.25" x14ac:dyDescent="0.2">
      <c r="A7" s="40">
        <v>36</v>
      </c>
      <c r="B7" s="33">
        <f>PRODUCT(PARAMETROS!B$5,A7)/A$3</f>
        <v>1973.1075000000001</v>
      </c>
      <c r="C7" s="60">
        <f t="shared" si="0"/>
        <v>915.58928571428567</v>
      </c>
      <c r="D7" s="33">
        <f t="shared" si="1"/>
        <v>619.55575499999998</v>
      </c>
      <c r="G7" s="122" t="s">
        <v>55</v>
      </c>
      <c r="H7" s="122"/>
      <c r="I7" s="123"/>
      <c r="J7" s="174">
        <v>0</v>
      </c>
      <c r="K7" s="66"/>
    </row>
    <row r="8" spans="1:11" ht="15" thickBot="1" x14ac:dyDescent="0.25">
      <c r="A8" s="40">
        <v>35</v>
      </c>
      <c r="B8" s="33">
        <f>PRODUCT(PARAMETROS!B$5,A8)/A$3</f>
        <v>1918.2989583333333</v>
      </c>
      <c r="C8" s="60">
        <f t="shared" si="0"/>
        <v>890.15625</v>
      </c>
      <c r="D8" s="33">
        <f t="shared" si="1"/>
        <v>602.34587291666662</v>
      </c>
      <c r="G8" s="122"/>
      <c r="H8" s="122"/>
      <c r="I8" s="123"/>
      <c r="J8" s="175"/>
      <c r="K8" s="66"/>
    </row>
    <row r="9" spans="1:11" ht="15" thickBot="1" x14ac:dyDescent="0.25">
      <c r="A9" s="40">
        <v>34</v>
      </c>
      <c r="B9" s="33">
        <f>PRODUCT(PARAMETROS!B$5,A9)/A$3</f>
        <v>1863.4904166666668</v>
      </c>
      <c r="C9" s="60">
        <f t="shared" si="0"/>
        <v>864.72321428571433</v>
      </c>
      <c r="D9" s="33">
        <f t="shared" si="1"/>
        <v>585.13599083333338</v>
      </c>
      <c r="G9" s="69"/>
      <c r="H9" s="70"/>
      <c r="I9" s="71"/>
      <c r="J9" s="72"/>
      <c r="K9" s="66"/>
    </row>
    <row r="10" spans="1:11" ht="14.25" x14ac:dyDescent="0.2">
      <c r="A10" s="40">
        <v>33</v>
      </c>
      <c r="B10" s="33">
        <f>PRODUCT(PARAMETROS!B$5,A10)/A$3</f>
        <v>1808.6818749999998</v>
      </c>
      <c r="C10" s="60">
        <f t="shared" si="0"/>
        <v>839.29017857142844</v>
      </c>
      <c r="D10" s="33">
        <f t="shared" si="1"/>
        <v>567.92610874999991</v>
      </c>
      <c r="G10" s="126" t="s">
        <v>56</v>
      </c>
      <c r="H10" s="127"/>
      <c r="I10" s="127"/>
      <c r="J10" s="128"/>
      <c r="K10" s="66"/>
    </row>
    <row r="11" spans="1:11" ht="15" thickBot="1" x14ac:dyDescent="0.25">
      <c r="A11" s="40">
        <v>32</v>
      </c>
      <c r="B11" s="33">
        <f>PRODUCT(PARAMETROS!B$5,A11)/A$3</f>
        <v>1753.8733333333334</v>
      </c>
      <c r="C11" s="60">
        <f t="shared" si="0"/>
        <v>813.85714285714278</v>
      </c>
      <c r="D11" s="33">
        <f t="shared" si="1"/>
        <v>550.71622666666667</v>
      </c>
      <c r="G11" s="129"/>
      <c r="H11" s="130"/>
      <c r="I11" s="130"/>
      <c r="J11" s="131"/>
      <c r="K11" s="66"/>
    </row>
    <row r="12" spans="1:11" ht="15" thickBot="1" x14ac:dyDescent="0.25">
      <c r="A12" s="40">
        <v>31</v>
      </c>
      <c r="B12" s="33">
        <f>PRODUCT(PARAMETROS!B$5,A12)/A$3</f>
        <v>1699.0647916666669</v>
      </c>
      <c r="C12" s="60">
        <f t="shared" si="0"/>
        <v>788.42410714285711</v>
      </c>
      <c r="D12" s="33">
        <f t="shared" si="1"/>
        <v>533.50634458333343</v>
      </c>
      <c r="G12" s="73"/>
      <c r="H12" s="84" t="s">
        <v>57</v>
      </c>
      <c r="I12" s="75" t="s">
        <v>58</v>
      </c>
      <c r="J12" s="102" t="s">
        <v>59</v>
      </c>
      <c r="K12" s="66"/>
    </row>
    <row r="13" spans="1:11" ht="14.25" x14ac:dyDescent="0.2">
      <c r="A13" s="40">
        <v>30</v>
      </c>
      <c r="B13" s="33">
        <f>PRODUCT(PARAMETROS!B$5,A13)/A$3</f>
        <v>1644.2562499999999</v>
      </c>
      <c r="C13" s="60">
        <f t="shared" si="0"/>
        <v>762.99107142857144</v>
      </c>
      <c r="D13" s="33">
        <f t="shared" si="1"/>
        <v>516.29646249999996</v>
      </c>
      <c r="G13" s="140" t="s">
        <v>60</v>
      </c>
      <c r="H13" s="134">
        <f>IF(J7&gt;=H3,J7,H3)</f>
        <v>1050</v>
      </c>
      <c r="I13" s="158">
        <v>23.6</v>
      </c>
      <c r="J13" s="142">
        <f>H13*I13%</f>
        <v>247.8</v>
      </c>
      <c r="K13" s="66"/>
    </row>
    <row r="14" spans="1:11" ht="15" thickBot="1" x14ac:dyDescent="0.25">
      <c r="A14" s="40">
        <v>29</v>
      </c>
      <c r="B14" s="33">
        <f>PRODUCT(PARAMETROS!B$5,A14)/A$3</f>
        <v>1589.4477083333334</v>
      </c>
      <c r="C14" s="60">
        <f t="shared" si="0"/>
        <v>737.55803571428578</v>
      </c>
      <c r="D14" s="33">
        <f t="shared" si="1"/>
        <v>499.08658041666666</v>
      </c>
      <c r="G14" s="141"/>
      <c r="H14" s="135"/>
      <c r="I14" s="159"/>
      <c r="J14" s="160"/>
      <c r="K14" s="66"/>
    </row>
    <row r="15" spans="1:11" ht="14.25" x14ac:dyDescent="0.2">
      <c r="A15" s="40">
        <v>28</v>
      </c>
      <c r="B15" s="33">
        <f>PRODUCT(PARAMETROS!B$5,A15)/A$3</f>
        <v>1534.6391666666666</v>
      </c>
      <c r="C15" s="60">
        <f t="shared" si="0"/>
        <v>712.125</v>
      </c>
      <c r="D15" s="33">
        <f t="shared" si="1"/>
        <v>481.87669833333331</v>
      </c>
      <c r="G15" s="140" t="s">
        <v>61</v>
      </c>
      <c r="H15" s="134">
        <f>IF(J7&gt;=J3,J7,J3)</f>
        <v>1050</v>
      </c>
      <c r="I15" s="158">
        <v>7.8</v>
      </c>
      <c r="J15" s="142">
        <f>H15*I15%</f>
        <v>81.900000000000006</v>
      </c>
      <c r="K15" s="66"/>
    </row>
    <row r="16" spans="1:11" ht="15" thickBot="1" x14ac:dyDescent="0.25">
      <c r="A16" s="40">
        <v>27</v>
      </c>
      <c r="B16" s="33">
        <f>PRODUCT(PARAMETROS!B$5,A16)/A$3</f>
        <v>1479.8306250000001</v>
      </c>
      <c r="C16" s="60">
        <f t="shared" si="0"/>
        <v>686.69196428571422</v>
      </c>
      <c r="D16" s="33">
        <f t="shared" si="1"/>
        <v>464.66681625000001</v>
      </c>
      <c r="G16" s="141"/>
      <c r="H16" s="135"/>
      <c r="I16" s="159"/>
      <c r="J16" s="160"/>
      <c r="K16" s="66"/>
    </row>
    <row r="17" spans="1:11" ht="15" thickBot="1" x14ac:dyDescent="0.25">
      <c r="A17" s="40">
        <v>26</v>
      </c>
      <c r="B17" s="33">
        <f>PRODUCT(PARAMETROS!B$5,A17)/A$3</f>
        <v>1425.0220833333333</v>
      </c>
      <c r="C17" s="60">
        <f t="shared" si="0"/>
        <v>661.25892857142867</v>
      </c>
      <c r="D17" s="33">
        <f t="shared" si="1"/>
        <v>447.45693416666666</v>
      </c>
      <c r="G17" s="144" t="s">
        <v>62</v>
      </c>
      <c r="H17" s="145"/>
      <c r="I17" s="77">
        <f>(I13+I15)</f>
        <v>31.400000000000002</v>
      </c>
      <c r="J17" s="78">
        <f>SUM(J13:J16)</f>
        <v>329.70000000000005</v>
      </c>
      <c r="K17" s="66"/>
    </row>
    <row r="18" spans="1:11" ht="14.25" x14ac:dyDescent="0.2">
      <c r="A18" s="40">
        <v>25</v>
      </c>
      <c r="B18" s="33">
        <f>PRODUCT(PARAMETROS!B$5,A18)/A$3</f>
        <v>1370.2135416666665</v>
      </c>
      <c r="C18" s="60">
        <f t="shared" si="0"/>
        <v>635.82589285714289</v>
      </c>
      <c r="D18" s="33">
        <f t="shared" si="1"/>
        <v>430.2470520833333</v>
      </c>
      <c r="G18" s="79"/>
      <c r="H18" s="80"/>
      <c r="I18" s="81"/>
      <c r="J18" s="82"/>
      <c r="K18" s="66"/>
    </row>
    <row r="19" spans="1:11" ht="14.25" x14ac:dyDescent="0.2">
      <c r="A19" s="40">
        <v>24</v>
      </c>
      <c r="B19" s="33">
        <f>PRODUCT(PARAMETROS!B$5,A19)/A$3</f>
        <v>1315.405</v>
      </c>
      <c r="C19" s="60">
        <f t="shared" si="0"/>
        <v>610.39285714285711</v>
      </c>
      <c r="D19" s="33">
        <f t="shared" si="1"/>
        <v>413.03717</v>
      </c>
      <c r="G19" s="146" t="s">
        <v>74</v>
      </c>
      <c r="H19" s="146"/>
      <c r="I19" s="146"/>
      <c r="J19" s="146"/>
      <c r="K19" s="146"/>
    </row>
    <row r="20" spans="1:11" ht="14.25" x14ac:dyDescent="0.2">
      <c r="A20" s="40">
        <v>23</v>
      </c>
      <c r="B20" s="33">
        <f>PRODUCT(PARAMETROS!B$5,A20)/A$3</f>
        <v>1260.5964583333334</v>
      </c>
      <c r="C20" s="60">
        <f t="shared" si="0"/>
        <v>584.95982142857133</v>
      </c>
      <c r="D20" s="33">
        <f t="shared" si="1"/>
        <v>395.82728791666671</v>
      </c>
      <c r="G20" s="146"/>
      <c r="H20" s="146"/>
      <c r="I20" s="146"/>
      <c r="J20" s="146"/>
      <c r="K20" s="146"/>
    </row>
    <row r="21" spans="1:11" ht="15" thickBot="1" x14ac:dyDescent="0.25">
      <c r="A21" s="40">
        <v>22</v>
      </c>
      <c r="B21" s="33">
        <f>PRODUCT(PARAMETROS!B$5,A21)/A$3</f>
        <v>1205.7879166666667</v>
      </c>
      <c r="C21" s="60">
        <f t="shared" si="0"/>
        <v>559.52678571428578</v>
      </c>
      <c r="D21" s="33">
        <f t="shared" si="1"/>
        <v>378.61740583333335</v>
      </c>
      <c r="G21" s="65"/>
      <c r="H21" s="68"/>
      <c r="I21" s="66"/>
      <c r="J21" s="67"/>
      <c r="K21" s="66"/>
    </row>
    <row r="22" spans="1:11" ht="14.25" x14ac:dyDescent="0.2">
      <c r="A22" s="40">
        <v>21</v>
      </c>
      <c r="B22" s="33">
        <f>PRODUCT(PARAMETROS!B$5,A22)/A$3</f>
        <v>1150.9793750000001</v>
      </c>
      <c r="C22" s="60">
        <f t="shared" si="0"/>
        <v>534.09375</v>
      </c>
      <c r="D22" s="33">
        <f t="shared" si="1"/>
        <v>361.40752375000005</v>
      </c>
      <c r="G22" s="122" t="s">
        <v>64</v>
      </c>
      <c r="H22" s="122"/>
      <c r="I22" s="123"/>
      <c r="J22" s="176">
        <v>0</v>
      </c>
      <c r="K22" s="66"/>
    </row>
    <row r="23" spans="1:11" ht="15" thickBot="1" x14ac:dyDescent="0.25">
      <c r="A23" s="40">
        <v>20</v>
      </c>
      <c r="B23" s="33">
        <f>PRODUCT(PARAMETROS!B$5,A23)/A$3</f>
        <v>1096.1708333333333</v>
      </c>
      <c r="C23" s="60">
        <f t="shared" si="0"/>
        <v>508.66071428571422</v>
      </c>
      <c r="D23" s="33">
        <f t="shared" si="1"/>
        <v>344.1976416666667</v>
      </c>
      <c r="G23" s="122"/>
      <c r="H23" s="122"/>
      <c r="I23" s="123"/>
      <c r="J23" s="177"/>
      <c r="K23" s="66"/>
    </row>
    <row r="24" spans="1:11" ht="15" thickBot="1" x14ac:dyDescent="0.25">
      <c r="A24" s="40">
        <v>19</v>
      </c>
      <c r="B24" s="33">
        <f>PRODUCT(PARAMETROS!B$5,A24)/A$3</f>
        <v>1041.3622916666668</v>
      </c>
      <c r="C24" s="60">
        <f t="shared" si="0"/>
        <v>483.22767857142861</v>
      </c>
      <c r="D24" s="33">
        <f t="shared" si="1"/>
        <v>326.9877595833334</v>
      </c>
      <c r="G24" s="65"/>
      <c r="H24" s="68"/>
      <c r="I24" s="66"/>
      <c r="J24" s="67"/>
      <c r="K24" s="66"/>
    </row>
    <row r="25" spans="1:11" ht="14.25" x14ac:dyDescent="0.2">
      <c r="A25" s="40">
        <v>18</v>
      </c>
      <c r="B25" s="33">
        <f>PRODUCT(PARAMETROS!B$5,A25)/A$3</f>
        <v>986.55375000000004</v>
      </c>
      <c r="C25" s="60">
        <f t="shared" si="0"/>
        <v>457.79464285714283</v>
      </c>
      <c r="D25" s="33">
        <f t="shared" si="1"/>
        <v>309.77787749999999</v>
      </c>
      <c r="G25" s="122" t="s">
        <v>65</v>
      </c>
      <c r="H25" s="122"/>
      <c r="I25" s="123"/>
      <c r="J25" s="174">
        <v>0</v>
      </c>
      <c r="K25" s="66"/>
    </row>
    <row r="26" spans="1:11" ht="15" thickBot="1" x14ac:dyDescent="0.25">
      <c r="A26" s="40">
        <v>17</v>
      </c>
      <c r="B26" s="33">
        <f>PRODUCT(PARAMETROS!B$5,A26)/A$3</f>
        <v>931.74520833333338</v>
      </c>
      <c r="C26" s="60">
        <f t="shared" si="0"/>
        <v>432.36160714285717</v>
      </c>
      <c r="D26" s="33">
        <f t="shared" si="1"/>
        <v>292.56799541666669</v>
      </c>
      <c r="G26" s="122"/>
      <c r="H26" s="122"/>
      <c r="I26" s="123"/>
      <c r="J26" s="175"/>
      <c r="K26" s="66"/>
    </row>
    <row r="27" spans="1:11" ht="15" thickBot="1" x14ac:dyDescent="0.25">
      <c r="A27" s="40">
        <v>16</v>
      </c>
      <c r="B27" s="33">
        <f>PRODUCT(PARAMETROS!B$5,A27)/A$3</f>
        <v>876.93666666666672</v>
      </c>
      <c r="C27" s="60">
        <f t="shared" si="0"/>
        <v>406.92857142857139</v>
      </c>
      <c r="D27" s="33">
        <f t="shared" si="1"/>
        <v>275.35811333333334</v>
      </c>
      <c r="G27" s="65"/>
      <c r="H27" s="68"/>
      <c r="I27" s="66"/>
      <c r="J27" s="67"/>
      <c r="K27" s="66"/>
    </row>
    <row r="28" spans="1:11" ht="14.25" x14ac:dyDescent="0.2">
      <c r="A28" s="40">
        <v>15</v>
      </c>
      <c r="B28" s="33">
        <f>PRODUCT(PARAMETROS!B$5,A28)/A$3</f>
        <v>822.12812499999995</v>
      </c>
      <c r="C28" s="60">
        <f t="shared" si="0"/>
        <v>381.49553571428572</v>
      </c>
      <c r="D28" s="33">
        <f t="shared" si="1"/>
        <v>258.14823124999998</v>
      </c>
      <c r="G28" s="126" t="s">
        <v>66</v>
      </c>
      <c r="H28" s="127"/>
      <c r="I28" s="127"/>
      <c r="J28" s="128"/>
      <c r="K28" s="66"/>
    </row>
    <row r="29" spans="1:11" ht="15" thickBot="1" x14ac:dyDescent="0.25">
      <c r="A29" s="40">
        <v>14</v>
      </c>
      <c r="B29" s="33">
        <f>PRODUCT(PARAMETROS!B$5,A29)/A$3</f>
        <v>767.3195833333333</v>
      </c>
      <c r="C29" s="60">
        <f t="shared" si="0"/>
        <v>356.0625</v>
      </c>
      <c r="D29" s="33">
        <f t="shared" si="1"/>
        <v>240.93834916666665</v>
      </c>
      <c r="G29" s="129"/>
      <c r="H29" s="130"/>
      <c r="I29" s="130"/>
      <c r="J29" s="131"/>
      <c r="K29" s="66"/>
    </row>
    <row r="30" spans="1:11" ht="15" thickBot="1" x14ac:dyDescent="0.25">
      <c r="A30" s="40">
        <v>13</v>
      </c>
      <c r="B30" s="33">
        <f>PRODUCT(PARAMETROS!B$5,A30)/A$3</f>
        <v>712.51104166666664</v>
      </c>
      <c r="C30" s="60">
        <f t="shared" si="0"/>
        <v>330.62946428571433</v>
      </c>
      <c r="D30" s="33">
        <f t="shared" si="1"/>
        <v>223.72846708333333</v>
      </c>
      <c r="G30" s="83" t="s">
        <v>67</v>
      </c>
      <c r="H30" s="84" t="s">
        <v>57</v>
      </c>
      <c r="I30" s="75" t="s">
        <v>68</v>
      </c>
      <c r="J30" s="76" t="s">
        <v>59</v>
      </c>
      <c r="K30" s="66"/>
    </row>
    <row r="31" spans="1:11" ht="14.25" x14ac:dyDescent="0.2">
      <c r="A31" s="40">
        <v>12</v>
      </c>
      <c r="B31" s="33">
        <f>PRODUCT(PARAMETROS!B$5,A31)/A$3</f>
        <v>657.70249999999999</v>
      </c>
      <c r="C31" s="60">
        <f t="shared" si="0"/>
        <v>305.19642857142856</v>
      </c>
      <c r="D31" s="33">
        <f t="shared" si="1"/>
        <v>206.518585</v>
      </c>
      <c r="G31" s="179">
        <f>(J22/40*7.5*5)/7*30*$C$46</f>
        <v>0</v>
      </c>
      <c r="H31" s="156">
        <f>IF(J25&lt;G31,G31,J25)</f>
        <v>0</v>
      </c>
      <c r="I31" s="158">
        <v>31.4</v>
      </c>
      <c r="J31" s="142">
        <f>H31*I31%</f>
        <v>0</v>
      </c>
      <c r="K31" s="66"/>
    </row>
    <row r="32" spans="1:11" ht="15" thickBot="1" x14ac:dyDescent="0.25">
      <c r="A32" s="40">
        <v>11</v>
      </c>
      <c r="B32" s="33">
        <f>PRODUCT(PARAMETROS!B$5,A32)/A$3</f>
        <v>602.89395833333333</v>
      </c>
      <c r="C32" s="60">
        <f t="shared" si="0"/>
        <v>279.76339285714289</v>
      </c>
      <c r="D32" s="33">
        <f t="shared" si="1"/>
        <v>189.30870291666668</v>
      </c>
      <c r="G32" s="155"/>
      <c r="H32" s="157"/>
      <c r="I32" s="159"/>
      <c r="J32" s="160"/>
      <c r="K32" s="66"/>
    </row>
    <row r="33" spans="1:11" ht="15" thickBot="1" x14ac:dyDescent="0.25">
      <c r="A33" s="40">
        <v>10</v>
      </c>
      <c r="B33" s="33">
        <f>PRODUCT(PARAMETROS!B$5,A33)/A$3</f>
        <v>548.08541666666667</v>
      </c>
      <c r="C33" s="60">
        <f t="shared" si="0"/>
        <v>254.33035714285711</v>
      </c>
      <c r="D33" s="33">
        <f t="shared" si="1"/>
        <v>172.09882083333335</v>
      </c>
      <c r="G33" s="149" t="s">
        <v>69</v>
      </c>
      <c r="H33" s="150"/>
      <c r="I33" s="151"/>
      <c r="J33" s="78">
        <f>SUM(J31)</f>
        <v>0</v>
      </c>
      <c r="K33" s="66"/>
    </row>
    <row r="34" spans="1:11" ht="14.25" x14ac:dyDescent="0.2">
      <c r="A34" s="40">
        <v>9</v>
      </c>
      <c r="B34" s="33">
        <f>PRODUCT(PARAMETROS!B$5,A34)/A$3</f>
        <v>493.27687500000002</v>
      </c>
      <c r="C34" s="60">
        <f t="shared" si="0"/>
        <v>228.89732142857142</v>
      </c>
      <c r="D34" s="33">
        <f t="shared" si="1"/>
        <v>154.88893874999999</v>
      </c>
      <c r="G34" s="65"/>
      <c r="H34" s="68"/>
      <c r="I34" s="66"/>
      <c r="J34" s="67"/>
      <c r="K34" s="66"/>
    </row>
    <row r="35" spans="1:11" ht="14.25" x14ac:dyDescent="0.2">
      <c r="A35" s="40">
        <v>8</v>
      </c>
      <c r="B35" s="33">
        <f>PRODUCT(PARAMETROS!B$5,A35)/A$3</f>
        <v>438.46833333333336</v>
      </c>
      <c r="C35" s="60">
        <f t="shared" si="0"/>
        <v>203.46428571428569</v>
      </c>
      <c r="D35" s="33">
        <f t="shared" si="1"/>
        <v>137.67905666666667</v>
      </c>
      <c r="G35" s="178" t="s">
        <v>70</v>
      </c>
      <c r="H35" s="178"/>
      <c r="I35" s="178"/>
      <c r="J35" s="153" t="s">
        <v>71</v>
      </c>
      <c r="K35" s="103"/>
    </row>
    <row r="36" spans="1:11" ht="14.25" x14ac:dyDescent="0.2">
      <c r="A36" s="40">
        <v>7</v>
      </c>
      <c r="B36" s="33">
        <f>PRODUCT(PARAMETROS!B$5,A36)/A$3</f>
        <v>383.65979166666665</v>
      </c>
      <c r="C36" s="60">
        <f t="shared" si="0"/>
        <v>178.03125</v>
      </c>
      <c r="D36" s="33">
        <f t="shared" si="1"/>
        <v>120.46917458333333</v>
      </c>
      <c r="G36" s="178"/>
      <c r="H36" s="178"/>
      <c r="I36" s="178"/>
      <c r="J36" s="153"/>
      <c r="K36" s="103"/>
    </row>
    <row r="37" spans="1:11" ht="14.25" x14ac:dyDescent="0.2">
      <c r="A37" s="40">
        <v>6</v>
      </c>
      <c r="B37" s="33">
        <f>PRODUCT(PARAMETROS!B$5,A37)/A$3</f>
        <v>328.85124999999999</v>
      </c>
      <c r="C37" s="60">
        <f t="shared" si="0"/>
        <v>152.59821428571428</v>
      </c>
      <c r="D37" s="33">
        <f t="shared" si="1"/>
        <v>103.2592925</v>
      </c>
    </row>
    <row r="38" spans="1:11" ht="14.25" x14ac:dyDescent="0.2">
      <c r="A38" s="40">
        <v>5</v>
      </c>
      <c r="B38" s="33">
        <f>PRODUCT(PARAMETROS!B$5,A38)/A$3</f>
        <v>274.04270833333334</v>
      </c>
      <c r="C38" s="60">
        <f t="shared" si="0"/>
        <v>127.16517857142856</v>
      </c>
      <c r="D38" s="33">
        <f t="shared" si="1"/>
        <v>86.049410416666674</v>
      </c>
    </row>
    <row r="39" spans="1:11" ht="14.25" x14ac:dyDescent="0.2">
      <c r="A39" s="40">
        <v>4</v>
      </c>
      <c r="B39" s="33">
        <f>PRODUCT(PARAMETROS!B$5,A39)/A$3</f>
        <v>219.23416666666668</v>
      </c>
      <c r="C39" s="60">
        <f t="shared" si="0"/>
        <v>101.73214285714285</v>
      </c>
      <c r="D39" s="33">
        <f t="shared" si="1"/>
        <v>68.839528333333334</v>
      </c>
    </row>
    <row r="40" spans="1:11" ht="14.25" x14ac:dyDescent="0.2">
      <c r="A40" s="40">
        <v>3</v>
      </c>
      <c r="B40" s="33">
        <f>PRODUCT(PARAMETROS!B$5,A40)/A$3</f>
        <v>164.425625</v>
      </c>
      <c r="C40" s="60">
        <f t="shared" si="0"/>
        <v>76.299107142857139</v>
      </c>
      <c r="D40" s="33">
        <f t="shared" si="1"/>
        <v>51.62964625</v>
      </c>
    </row>
    <row r="41" spans="1:11" ht="14.25" x14ac:dyDescent="0.2">
      <c r="A41" s="40">
        <v>2</v>
      </c>
      <c r="B41" s="33">
        <f>PRODUCT(PARAMETROS!B$5,A41)/A$3</f>
        <v>109.61708333333334</v>
      </c>
      <c r="C41" s="60">
        <f t="shared" si="0"/>
        <v>50.866071428571423</v>
      </c>
      <c r="D41" s="33">
        <f t="shared" si="1"/>
        <v>34.419764166666667</v>
      </c>
    </row>
    <row r="42" spans="1:11" ht="15" thickBot="1" x14ac:dyDescent="0.25">
      <c r="A42" s="40">
        <v>1</v>
      </c>
      <c r="B42" s="35">
        <f>PRODUCT(PARAMETROS!B$5,A42)/A$3</f>
        <v>54.80854166666667</v>
      </c>
      <c r="C42" s="182">
        <f t="shared" si="0"/>
        <v>25.433035714285712</v>
      </c>
      <c r="D42" s="35">
        <f t="shared" si="1"/>
        <v>17.209882083333333</v>
      </c>
    </row>
    <row r="46" spans="1:11" s="56" customFormat="1" ht="43.5" hidden="1" thickBot="1" x14ac:dyDescent="0.25">
      <c r="A46" s="55"/>
      <c r="B46" s="51" t="s">
        <v>46</v>
      </c>
      <c r="C46" s="61">
        <v>6.33</v>
      </c>
      <c r="D46" s="55"/>
    </row>
  </sheetData>
  <sheetProtection algorithmName="SHA-512" hashValue="7hYjTdObwPWZMLEeyCwDkrHo2+q/xK+KjIJAvaP0RogShVxFT3sjSrGmUqWwMHG+aGAftdzylZnvCh/nebDWTg==" saltValue="gLpmgctkxVUARHWQCdeWgg==" spinCount="100000" sheet="1" objects="1" scenarios="1"/>
  <protectedRanges>
    <protectedRange sqref="J35" name="CALCULO RC_2"/>
    <protectedRange sqref="J25" name="RET TP_2"/>
    <protectedRange sqref="J22" name="DED_2"/>
    <protectedRange sqref="J7" name="RET TC_2"/>
  </protectedRanges>
  <mergeCells count="36">
    <mergeCell ref="G33:I33"/>
    <mergeCell ref="G35:I36"/>
    <mergeCell ref="J35:J36"/>
    <mergeCell ref="G28:J29"/>
    <mergeCell ref="G31:G32"/>
    <mergeCell ref="H31:H32"/>
    <mergeCell ref="I31:I32"/>
    <mergeCell ref="J31:J32"/>
    <mergeCell ref="G19:K20"/>
    <mergeCell ref="G22:I23"/>
    <mergeCell ref="J22:J23"/>
    <mergeCell ref="G25:I26"/>
    <mergeCell ref="J25:J26"/>
    <mergeCell ref="G15:G16"/>
    <mergeCell ref="H15:H16"/>
    <mergeCell ref="I15:I16"/>
    <mergeCell ref="J15:J16"/>
    <mergeCell ref="G17:H17"/>
    <mergeCell ref="G7:I8"/>
    <mergeCell ref="J7:J8"/>
    <mergeCell ref="G10:J11"/>
    <mergeCell ref="G13:G14"/>
    <mergeCell ref="H13:H14"/>
    <mergeCell ref="I13:I14"/>
    <mergeCell ref="J13:J14"/>
    <mergeCell ref="J1:K1"/>
    <mergeCell ref="G3:G4"/>
    <mergeCell ref="H3:H4"/>
    <mergeCell ref="I3:I4"/>
    <mergeCell ref="J3:J4"/>
    <mergeCell ref="K3:K4"/>
    <mergeCell ref="A1:A2"/>
    <mergeCell ref="B1:B2"/>
    <mergeCell ref="C1:C2"/>
    <mergeCell ref="D1:D2"/>
    <mergeCell ref="G1:I1"/>
  </mergeCells>
  <phoneticPr fontId="0" type="noConversion"/>
  <hyperlinks>
    <hyperlink ref="J35:J36" r:id="rId1" display="CALCULO RC"/>
  </hyperlinks>
  <pageMargins left="0.75" right="0.75" top="1" bottom="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9" workbookViewId="0">
      <selection activeCell="I61" sqref="I61"/>
    </sheetView>
  </sheetViews>
  <sheetFormatPr baseColWidth="10" defaultRowHeight="12.75" x14ac:dyDescent="0.2"/>
  <cols>
    <col min="1" max="1" width="25.140625" style="1" bestFit="1" customWidth="1"/>
    <col min="2" max="2" width="25.140625" style="1" customWidth="1"/>
    <col min="3" max="3" width="16.42578125" style="30" hidden="1" customWidth="1"/>
    <col min="4" max="4" width="18.7109375" style="1" customWidth="1"/>
    <col min="5" max="5" width="6.85546875" customWidth="1"/>
    <col min="6" max="6" width="6.85546875" style="2" bestFit="1" customWidth="1"/>
    <col min="7" max="7" width="20.7109375" customWidth="1"/>
    <col min="8" max="8" width="25.28515625" customWidth="1"/>
    <col min="9" max="9" width="24.140625" customWidth="1"/>
    <col min="10" max="10" width="21" customWidth="1"/>
    <col min="11" max="11" width="19.140625" customWidth="1"/>
  </cols>
  <sheetData>
    <row r="1" spans="1:11" ht="40.9" customHeight="1" x14ac:dyDescent="0.2">
      <c r="A1" s="161" t="s">
        <v>0</v>
      </c>
      <c r="B1" s="112" t="s">
        <v>47</v>
      </c>
      <c r="C1" s="163" t="s">
        <v>73</v>
      </c>
      <c r="D1" s="116" t="s">
        <v>72</v>
      </c>
      <c r="F1"/>
      <c r="G1" s="165" t="s">
        <v>48</v>
      </c>
      <c r="H1" s="166"/>
      <c r="I1" s="167"/>
      <c r="J1" s="165" t="s">
        <v>49</v>
      </c>
      <c r="K1" s="167"/>
    </row>
    <row r="2" spans="1:11" ht="23.25" thickBot="1" x14ac:dyDescent="0.25">
      <c r="A2" s="180"/>
      <c r="B2" s="113"/>
      <c r="C2" s="115"/>
      <c r="D2" s="117"/>
      <c r="F2"/>
      <c r="G2" s="63" t="s">
        <v>50</v>
      </c>
      <c r="H2" s="63" t="s">
        <v>51</v>
      </c>
      <c r="I2" s="63" t="s">
        <v>52</v>
      </c>
      <c r="J2" s="64" t="s">
        <v>53</v>
      </c>
      <c r="K2" s="63" t="s">
        <v>54</v>
      </c>
    </row>
    <row r="3" spans="1:11" ht="14.25" x14ac:dyDescent="0.2">
      <c r="A3" s="107">
        <v>40</v>
      </c>
      <c r="B3" s="33">
        <f>PARAMETROS!B6</f>
        <v>1883.1983333333333</v>
      </c>
      <c r="C3" s="34"/>
      <c r="D3" s="33"/>
      <c r="F3"/>
      <c r="G3" s="168">
        <v>7</v>
      </c>
      <c r="H3" s="170">
        <v>1050</v>
      </c>
      <c r="I3" s="170">
        <v>4070.1</v>
      </c>
      <c r="J3" s="172">
        <v>1050</v>
      </c>
      <c r="K3" s="172">
        <v>4070.1</v>
      </c>
    </row>
    <row r="4" spans="1:11" ht="14.25" x14ac:dyDescent="0.2">
      <c r="A4" s="40">
        <v>39</v>
      </c>
      <c r="B4" s="33">
        <f>PRODUCT(B$3,A4)/A$3</f>
        <v>1836.118375</v>
      </c>
      <c r="C4" s="34">
        <f>(A4/$A$3*7.5*5)/7*30*$C$46</f>
        <v>991.88839285714278</v>
      </c>
      <c r="D4" s="33">
        <f>IF(B4&lt;C4,C4*$I$17%,B4*$I$17%)</f>
        <v>576.54116974999999</v>
      </c>
      <c r="F4"/>
      <c r="G4" s="169"/>
      <c r="H4" s="171"/>
      <c r="I4" s="171"/>
      <c r="J4" s="173"/>
      <c r="K4" s="173"/>
    </row>
    <row r="5" spans="1:11" ht="14.25" x14ac:dyDescent="0.2">
      <c r="A5" s="40">
        <v>38</v>
      </c>
      <c r="B5" s="33">
        <f>PRODUCT(B$3,A5)/A$3</f>
        <v>1789.0384166666668</v>
      </c>
      <c r="C5" s="34">
        <f t="shared" ref="C5:C42" si="0">(A5/$A$3*7.5*5)/7*30*$C$46</f>
        <v>966.45535714285722</v>
      </c>
      <c r="D5" s="33">
        <f t="shared" ref="D5:D42" si="1">IF(B5&lt;C5,C5*$I$17%,B5*$I$17%)</f>
        <v>561.75806283333338</v>
      </c>
      <c r="F5"/>
      <c r="G5" s="65"/>
      <c r="H5" s="66"/>
      <c r="I5" s="66"/>
      <c r="J5" s="67"/>
      <c r="K5" s="66"/>
    </row>
    <row r="6" spans="1:11" ht="15" thickBot="1" x14ac:dyDescent="0.25">
      <c r="A6" s="40">
        <v>37</v>
      </c>
      <c r="B6" s="33">
        <f t="shared" ref="B6:B42" si="2">PRODUCT(B$3,A6)/A$3</f>
        <v>1741.9584583333333</v>
      </c>
      <c r="C6" s="34">
        <f t="shared" si="0"/>
        <v>941.02232142857156</v>
      </c>
      <c r="D6" s="33">
        <f t="shared" si="1"/>
        <v>546.97495591666666</v>
      </c>
      <c r="F6"/>
      <c r="G6" s="65"/>
      <c r="H6" s="68"/>
      <c r="I6" s="66"/>
      <c r="J6" s="67"/>
      <c r="K6" s="66"/>
    </row>
    <row r="7" spans="1:11" ht="14.25" x14ac:dyDescent="0.2">
      <c r="A7" s="40">
        <v>36</v>
      </c>
      <c r="B7" s="33">
        <f t="shared" si="2"/>
        <v>1694.8785</v>
      </c>
      <c r="C7" s="34">
        <f t="shared" si="0"/>
        <v>915.58928571428567</v>
      </c>
      <c r="D7" s="33">
        <f t="shared" si="1"/>
        <v>532.19184900000005</v>
      </c>
      <c r="F7"/>
      <c r="G7" s="122" t="s">
        <v>55</v>
      </c>
      <c r="H7" s="122"/>
      <c r="I7" s="123"/>
      <c r="J7" s="174">
        <v>0</v>
      </c>
      <c r="K7" s="66"/>
    </row>
    <row r="8" spans="1:11" ht="15" thickBot="1" x14ac:dyDescent="0.25">
      <c r="A8" s="40">
        <v>35</v>
      </c>
      <c r="B8" s="33">
        <f t="shared" si="2"/>
        <v>1647.7985416666666</v>
      </c>
      <c r="C8" s="34">
        <f t="shared" si="0"/>
        <v>890.15625</v>
      </c>
      <c r="D8" s="33">
        <f t="shared" si="1"/>
        <v>517.40874208333332</v>
      </c>
      <c r="F8"/>
      <c r="G8" s="122"/>
      <c r="H8" s="122"/>
      <c r="I8" s="123"/>
      <c r="J8" s="175"/>
      <c r="K8" s="66"/>
    </row>
    <row r="9" spans="1:11" ht="15" thickBot="1" x14ac:dyDescent="0.25">
      <c r="A9" s="40">
        <v>34</v>
      </c>
      <c r="B9" s="33">
        <f t="shared" si="2"/>
        <v>1600.7185833333333</v>
      </c>
      <c r="C9" s="34">
        <f t="shared" si="0"/>
        <v>864.72321428571433</v>
      </c>
      <c r="D9" s="33">
        <f t="shared" si="1"/>
        <v>502.62563516666665</v>
      </c>
      <c r="F9"/>
      <c r="G9" s="69"/>
      <c r="H9" s="70"/>
      <c r="I9" s="71"/>
      <c r="J9" s="72"/>
      <c r="K9" s="66"/>
    </row>
    <row r="10" spans="1:11" ht="14.25" x14ac:dyDescent="0.2">
      <c r="A10" s="40">
        <v>33</v>
      </c>
      <c r="B10" s="33">
        <f t="shared" si="2"/>
        <v>1553.638625</v>
      </c>
      <c r="C10" s="34">
        <f t="shared" si="0"/>
        <v>839.29017857142844</v>
      </c>
      <c r="D10" s="33">
        <f t="shared" si="1"/>
        <v>487.84252825000004</v>
      </c>
      <c r="F10"/>
      <c r="G10" s="126" t="s">
        <v>56</v>
      </c>
      <c r="H10" s="127"/>
      <c r="I10" s="127"/>
      <c r="J10" s="128"/>
      <c r="K10" s="66"/>
    </row>
    <row r="11" spans="1:11" ht="15" thickBot="1" x14ac:dyDescent="0.25">
      <c r="A11" s="40">
        <v>32</v>
      </c>
      <c r="B11" s="33">
        <f t="shared" si="2"/>
        <v>1506.5586666666666</v>
      </c>
      <c r="C11" s="34">
        <f t="shared" si="0"/>
        <v>813.85714285714278</v>
      </c>
      <c r="D11" s="33">
        <f t="shared" si="1"/>
        <v>473.05942133333332</v>
      </c>
      <c r="F11"/>
      <c r="G11" s="129"/>
      <c r="H11" s="130"/>
      <c r="I11" s="130"/>
      <c r="J11" s="131"/>
      <c r="K11" s="66"/>
    </row>
    <row r="12" spans="1:11" ht="15" thickBot="1" x14ac:dyDescent="0.25">
      <c r="A12" s="40">
        <v>31</v>
      </c>
      <c r="B12" s="33">
        <f t="shared" si="2"/>
        <v>1459.4787083333333</v>
      </c>
      <c r="C12" s="34">
        <f t="shared" si="0"/>
        <v>788.42410714285711</v>
      </c>
      <c r="D12" s="33">
        <f t="shared" si="1"/>
        <v>458.27631441666665</v>
      </c>
      <c r="F12"/>
      <c r="G12" s="73"/>
      <c r="H12" s="84" t="s">
        <v>57</v>
      </c>
      <c r="I12" s="75" t="s">
        <v>58</v>
      </c>
      <c r="J12" s="102" t="s">
        <v>59</v>
      </c>
      <c r="K12" s="66"/>
    </row>
    <row r="13" spans="1:11" ht="14.25" x14ac:dyDescent="0.2">
      <c r="A13" s="40">
        <v>30</v>
      </c>
      <c r="B13" s="33">
        <f t="shared" si="2"/>
        <v>1412.3987499999998</v>
      </c>
      <c r="C13" s="34">
        <f t="shared" si="0"/>
        <v>762.99107142857144</v>
      </c>
      <c r="D13" s="33">
        <f t="shared" si="1"/>
        <v>443.49320749999993</v>
      </c>
      <c r="F13"/>
      <c r="G13" s="140" t="s">
        <v>60</v>
      </c>
      <c r="H13" s="134">
        <f>IF(J7&gt;=H3,J7,H3)</f>
        <v>1050</v>
      </c>
      <c r="I13" s="158">
        <v>23.6</v>
      </c>
      <c r="J13" s="142">
        <f>H13*I13%</f>
        <v>247.8</v>
      </c>
      <c r="K13" s="66"/>
    </row>
    <row r="14" spans="1:11" ht="15" thickBot="1" x14ac:dyDescent="0.25">
      <c r="A14" s="40">
        <v>29</v>
      </c>
      <c r="B14" s="33">
        <f t="shared" si="2"/>
        <v>1365.3187916666666</v>
      </c>
      <c r="C14" s="34">
        <f t="shared" si="0"/>
        <v>737.55803571428578</v>
      </c>
      <c r="D14" s="33">
        <f t="shared" si="1"/>
        <v>428.71010058333331</v>
      </c>
      <c r="F14"/>
      <c r="G14" s="141"/>
      <c r="H14" s="135"/>
      <c r="I14" s="159"/>
      <c r="J14" s="160"/>
      <c r="K14" s="66"/>
    </row>
    <row r="15" spans="1:11" ht="14.25" x14ac:dyDescent="0.2">
      <c r="A15" s="40">
        <v>28</v>
      </c>
      <c r="B15" s="33">
        <f t="shared" si="2"/>
        <v>1318.2388333333333</v>
      </c>
      <c r="C15" s="34">
        <f t="shared" si="0"/>
        <v>712.125</v>
      </c>
      <c r="D15" s="33">
        <f t="shared" si="1"/>
        <v>413.92699366666665</v>
      </c>
      <c r="F15"/>
      <c r="G15" s="140" t="s">
        <v>61</v>
      </c>
      <c r="H15" s="134">
        <f>IF(J7&gt;=J3,J7,J3)</f>
        <v>1050</v>
      </c>
      <c r="I15" s="158">
        <v>7.8</v>
      </c>
      <c r="J15" s="142">
        <f>H15*I15%</f>
        <v>81.900000000000006</v>
      </c>
      <c r="K15" s="66"/>
    </row>
    <row r="16" spans="1:11" ht="15" thickBot="1" x14ac:dyDescent="0.25">
      <c r="A16" s="40">
        <v>27</v>
      </c>
      <c r="B16" s="33">
        <f t="shared" si="2"/>
        <v>1271.1588749999999</v>
      </c>
      <c r="C16" s="34">
        <f t="shared" si="0"/>
        <v>686.69196428571422</v>
      </c>
      <c r="D16" s="33">
        <f t="shared" si="1"/>
        <v>399.14388674999998</v>
      </c>
      <c r="F16"/>
      <c r="G16" s="141"/>
      <c r="H16" s="135"/>
      <c r="I16" s="159"/>
      <c r="J16" s="160"/>
      <c r="K16" s="66"/>
    </row>
    <row r="17" spans="1:11" ht="15" thickBot="1" x14ac:dyDescent="0.25">
      <c r="A17" s="40">
        <v>26</v>
      </c>
      <c r="B17" s="33">
        <f t="shared" si="2"/>
        <v>1224.0789166666666</v>
      </c>
      <c r="C17" s="34">
        <f t="shared" si="0"/>
        <v>661.25892857142867</v>
      </c>
      <c r="D17" s="33">
        <f t="shared" si="1"/>
        <v>384.36077983333331</v>
      </c>
      <c r="F17"/>
      <c r="G17" s="144" t="s">
        <v>62</v>
      </c>
      <c r="H17" s="145"/>
      <c r="I17" s="77">
        <f>(I13+I15)</f>
        <v>31.400000000000002</v>
      </c>
      <c r="J17" s="78">
        <f>SUM(J13:J16)</f>
        <v>329.70000000000005</v>
      </c>
      <c r="K17" s="66"/>
    </row>
    <row r="18" spans="1:11" ht="14.25" x14ac:dyDescent="0.2">
      <c r="A18" s="40">
        <v>25</v>
      </c>
      <c r="B18" s="33">
        <f t="shared" si="2"/>
        <v>1176.9989583333331</v>
      </c>
      <c r="C18" s="34">
        <f t="shared" si="0"/>
        <v>635.82589285714289</v>
      </c>
      <c r="D18" s="33">
        <f t="shared" si="1"/>
        <v>369.57767291666659</v>
      </c>
      <c r="F18"/>
      <c r="G18" s="79"/>
      <c r="H18" s="80"/>
      <c r="I18" s="81"/>
      <c r="J18" s="82"/>
      <c r="K18" s="66"/>
    </row>
    <row r="19" spans="1:11" ht="14.25" x14ac:dyDescent="0.2">
      <c r="A19" s="40">
        <v>24</v>
      </c>
      <c r="B19" s="33">
        <f t="shared" si="2"/>
        <v>1129.9189999999999</v>
      </c>
      <c r="C19" s="34">
        <f t="shared" si="0"/>
        <v>610.39285714285711</v>
      </c>
      <c r="D19" s="33">
        <f t="shared" si="1"/>
        <v>354.79456599999997</v>
      </c>
      <c r="F19"/>
      <c r="G19" s="146" t="s">
        <v>74</v>
      </c>
      <c r="H19" s="146"/>
      <c r="I19" s="146"/>
      <c r="J19" s="146"/>
      <c r="K19" s="146"/>
    </row>
    <row r="20" spans="1:11" ht="14.25" x14ac:dyDescent="0.2">
      <c r="A20" s="40">
        <v>23</v>
      </c>
      <c r="B20" s="33">
        <f t="shared" si="2"/>
        <v>1082.8390416666666</v>
      </c>
      <c r="C20" s="34">
        <f t="shared" si="0"/>
        <v>584.95982142857133</v>
      </c>
      <c r="D20" s="33">
        <f t="shared" si="1"/>
        <v>340.01145908333331</v>
      </c>
      <c r="F20"/>
      <c r="G20" s="146"/>
      <c r="H20" s="146"/>
      <c r="I20" s="146"/>
      <c r="J20" s="146"/>
      <c r="K20" s="146"/>
    </row>
    <row r="21" spans="1:11" ht="15" thickBot="1" x14ac:dyDescent="0.25">
      <c r="A21" s="40">
        <v>22</v>
      </c>
      <c r="B21" s="33">
        <f t="shared" si="2"/>
        <v>1035.7590833333334</v>
      </c>
      <c r="C21" s="34">
        <f t="shared" si="0"/>
        <v>559.52678571428578</v>
      </c>
      <c r="D21" s="33">
        <f t="shared" si="1"/>
        <v>325.2283521666667</v>
      </c>
      <c r="F21"/>
      <c r="G21" s="65"/>
      <c r="H21" s="68"/>
      <c r="I21" s="66"/>
      <c r="J21" s="67"/>
      <c r="K21" s="66"/>
    </row>
    <row r="22" spans="1:11" ht="14.25" x14ac:dyDescent="0.2">
      <c r="A22" s="40">
        <v>21</v>
      </c>
      <c r="B22" s="33">
        <f t="shared" si="2"/>
        <v>988.679125</v>
      </c>
      <c r="C22" s="34">
        <f t="shared" si="0"/>
        <v>534.09375</v>
      </c>
      <c r="D22" s="33">
        <f t="shared" si="1"/>
        <v>310.44524525000003</v>
      </c>
      <c r="F22"/>
      <c r="G22" s="122" t="s">
        <v>64</v>
      </c>
      <c r="H22" s="122"/>
      <c r="I22" s="123"/>
      <c r="J22" s="176">
        <v>0</v>
      </c>
      <c r="K22" s="66"/>
    </row>
    <row r="23" spans="1:11" ht="15" thickBot="1" x14ac:dyDescent="0.25">
      <c r="A23" s="40">
        <v>20</v>
      </c>
      <c r="B23" s="33">
        <f t="shared" si="2"/>
        <v>941.59916666666663</v>
      </c>
      <c r="C23" s="34">
        <f t="shared" si="0"/>
        <v>508.66071428571422</v>
      </c>
      <c r="D23" s="33">
        <f t="shared" si="1"/>
        <v>295.6621383333333</v>
      </c>
      <c r="F23"/>
      <c r="G23" s="122"/>
      <c r="H23" s="122"/>
      <c r="I23" s="123"/>
      <c r="J23" s="177"/>
      <c r="K23" s="66"/>
    </row>
    <row r="24" spans="1:11" ht="15" thickBot="1" x14ac:dyDescent="0.25">
      <c r="A24" s="40">
        <v>19</v>
      </c>
      <c r="B24" s="33">
        <f t="shared" si="2"/>
        <v>894.51920833333338</v>
      </c>
      <c r="C24" s="34">
        <f t="shared" si="0"/>
        <v>483.22767857142861</v>
      </c>
      <c r="D24" s="33">
        <f t="shared" si="1"/>
        <v>280.87903141666669</v>
      </c>
      <c r="F24"/>
      <c r="G24" s="65"/>
      <c r="H24" s="68"/>
      <c r="I24" s="66"/>
      <c r="J24" s="67"/>
      <c r="K24" s="66"/>
    </row>
    <row r="25" spans="1:11" ht="14.25" x14ac:dyDescent="0.2">
      <c r="A25" s="40">
        <v>18</v>
      </c>
      <c r="B25" s="33">
        <f t="shared" si="2"/>
        <v>847.43925000000002</v>
      </c>
      <c r="C25" s="34">
        <f t="shared" si="0"/>
        <v>457.79464285714283</v>
      </c>
      <c r="D25" s="33">
        <f t="shared" si="1"/>
        <v>266.09592450000002</v>
      </c>
      <c r="F25"/>
      <c r="G25" s="122" t="s">
        <v>65</v>
      </c>
      <c r="H25" s="122"/>
      <c r="I25" s="123"/>
      <c r="J25" s="174">
        <v>0</v>
      </c>
      <c r="K25" s="66"/>
    </row>
    <row r="26" spans="1:11" ht="15" thickBot="1" x14ac:dyDescent="0.25">
      <c r="A26" s="40">
        <v>17</v>
      </c>
      <c r="B26" s="33">
        <f t="shared" si="2"/>
        <v>800.35929166666665</v>
      </c>
      <c r="C26" s="34">
        <f t="shared" si="0"/>
        <v>432.36160714285717</v>
      </c>
      <c r="D26" s="33">
        <f t="shared" si="1"/>
        <v>251.31281758333333</v>
      </c>
      <c r="F26"/>
      <c r="G26" s="122"/>
      <c r="H26" s="122"/>
      <c r="I26" s="123"/>
      <c r="J26" s="175"/>
      <c r="K26" s="66"/>
    </row>
    <row r="27" spans="1:11" ht="15" thickBot="1" x14ac:dyDescent="0.25">
      <c r="A27" s="40">
        <v>16</v>
      </c>
      <c r="B27" s="33">
        <f t="shared" si="2"/>
        <v>753.27933333333328</v>
      </c>
      <c r="C27" s="34">
        <f t="shared" si="0"/>
        <v>406.92857142857139</v>
      </c>
      <c r="D27" s="33">
        <f t="shared" si="1"/>
        <v>236.52971066666666</v>
      </c>
      <c r="F27"/>
      <c r="G27" s="65"/>
      <c r="H27" s="68"/>
      <c r="I27" s="66"/>
      <c r="J27" s="67"/>
      <c r="K27" s="66"/>
    </row>
    <row r="28" spans="1:11" ht="14.25" x14ac:dyDescent="0.2">
      <c r="A28" s="40">
        <v>15</v>
      </c>
      <c r="B28" s="33">
        <f t="shared" si="2"/>
        <v>706.19937499999992</v>
      </c>
      <c r="C28" s="34">
        <f t="shared" si="0"/>
        <v>381.49553571428572</v>
      </c>
      <c r="D28" s="33">
        <f t="shared" si="1"/>
        <v>221.74660374999996</v>
      </c>
      <c r="F28"/>
      <c r="G28" s="126" t="s">
        <v>66</v>
      </c>
      <c r="H28" s="127"/>
      <c r="I28" s="127"/>
      <c r="J28" s="128"/>
      <c r="K28" s="66"/>
    </row>
    <row r="29" spans="1:11" ht="15" thickBot="1" x14ac:dyDescent="0.25">
      <c r="A29" s="40">
        <v>14</v>
      </c>
      <c r="B29" s="33">
        <f t="shared" si="2"/>
        <v>659.11941666666667</v>
      </c>
      <c r="C29" s="34">
        <f t="shared" si="0"/>
        <v>356.0625</v>
      </c>
      <c r="D29" s="33">
        <f t="shared" si="1"/>
        <v>206.96349683333332</v>
      </c>
      <c r="F29"/>
      <c r="G29" s="129"/>
      <c r="H29" s="130"/>
      <c r="I29" s="130"/>
      <c r="J29" s="131"/>
      <c r="K29" s="66"/>
    </row>
    <row r="30" spans="1:11" ht="15" thickBot="1" x14ac:dyDescent="0.25">
      <c r="A30" s="40">
        <v>13</v>
      </c>
      <c r="B30" s="33">
        <f t="shared" si="2"/>
        <v>612.0394583333333</v>
      </c>
      <c r="C30" s="34">
        <f t="shared" si="0"/>
        <v>330.62946428571433</v>
      </c>
      <c r="D30" s="33">
        <f t="shared" si="1"/>
        <v>192.18038991666666</v>
      </c>
      <c r="F30"/>
      <c r="G30" s="83" t="s">
        <v>67</v>
      </c>
      <c r="H30" s="84" t="s">
        <v>57</v>
      </c>
      <c r="I30" s="75" t="s">
        <v>68</v>
      </c>
      <c r="J30" s="76" t="s">
        <v>59</v>
      </c>
      <c r="K30" s="66"/>
    </row>
    <row r="31" spans="1:11" ht="14.25" x14ac:dyDescent="0.2">
      <c r="A31" s="40">
        <v>12</v>
      </c>
      <c r="B31" s="33">
        <f t="shared" si="2"/>
        <v>564.95949999999993</v>
      </c>
      <c r="C31" s="34">
        <f t="shared" si="0"/>
        <v>305.19642857142856</v>
      </c>
      <c r="D31" s="33">
        <f t="shared" si="1"/>
        <v>177.39728299999999</v>
      </c>
      <c r="F31"/>
      <c r="G31" s="179">
        <f>(J22/40*7.5*5)/7*30*$C$46</f>
        <v>0</v>
      </c>
      <c r="H31" s="156">
        <f>IF(J25&lt;G31,G31,J25)</f>
        <v>0</v>
      </c>
      <c r="I31" s="158">
        <v>31.4</v>
      </c>
      <c r="J31" s="142">
        <f>H31*I31%</f>
        <v>0</v>
      </c>
      <c r="K31" s="66"/>
    </row>
    <row r="32" spans="1:11" ht="15" thickBot="1" x14ac:dyDescent="0.25">
      <c r="A32" s="40">
        <v>11</v>
      </c>
      <c r="B32" s="33">
        <f t="shared" si="2"/>
        <v>517.87954166666668</v>
      </c>
      <c r="C32" s="34">
        <f t="shared" si="0"/>
        <v>279.76339285714289</v>
      </c>
      <c r="D32" s="33">
        <f t="shared" si="1"/>
        <v>162.61417608333335</v>
      </c>
      <c r="F32"/>
      <c r="G32" s="155"/>
      <c r="H32" s="157"/>
      <c r="I32" s="159"/>
      <c r="J32" s="160"/>
      <c r="K32" s="66"/>
    </row>
    <row r="33" spans="1:11" ht="15" thickBot="1" x14ac:dyDescent="0.25">
      <c r="A33" s="40">
        <v>10</v>
      </c>
      <c r="B33" s="33">
        <f t="shared" si="2"/>
        <v>470.79958333333332</v>
      </c>
      <c r="C33" s="34">
        <f t="shared" si="0"/>
        <v>254.33035714285711</v>
      </c>
      <c r="D33" s="33">
        <f t="shared" si="1"/>
        <v>147.83106916666665</v>
      </c>
      <c r="F33"/>
      <c r="G33" s="149" t="s">
        <v>69</v>
      </c>
      <c r="H33" s="150"/>
      <c r="I33" s="151"/>
      <c r="J33" s="78">
        <f>SUM(J31)</f>
        <v>0</v>
      </c>
      <c r="K33" s="66"/>
    </row>
    <row r="34" spans="1:11" ht="14.25" x14ac:dyDescent="0.2">
      <c r="A34" s="40">
        <v>9</v>
      </c>
      <c r="B34" s="33">
        <f t="shared" si="2"/>
        <v>423.71962500000001</v>
      </c>
      <c r="C34" s="34">
        <f t="shared" si="0"/>
        <v>228.89732142857142</v>
      </c>
      <c r="D34" s="33">
        <f t="shared" si="1"/>
        <v>133.04796225000001</v>
      </c>
      <c r="F34"/>
      <c r="G34" s="65"/>
      <c r="H34" s="68"/>
      <c r="I34" s="66"/>
      <c r="J34" s="67"/>
      <c r="K34" s="66"/>
    </row>
    <row r="35" spans="1:11" ht="14.25" x14ac:dyDescent="0.2">
      <c r="A35" s="40">
        <v>8</v>
      </c>
      <c r="B35" s="33">
        <f t="shared" si="2"/>
        <v>376.63966666666664</v>
      </c>
      <c r="C35" s="34">
        <f t="shared" si="0"/>
        <v>203.46428571428569</v>
      </c>
      <c r="D35" s="33">
        <f t="shared" si="1"/>
        <v>118.26485533333333</v>
      </c>
      <c r="F35" s="13"/>
      <c r="G35" s="178" t="s">
        <v>70</v>
      </c>
      <c r="H35" s="178"/>
      <c r="I35" s="178"/>
      <c r="J35" s="153" t="s">
        <v>71</v>
      </c>
      <c r="K35" s="103"/>
    </row>
    <row r="36" spans="1:11" ht="14.25" x14ac:dyDescent="0.2">
      <c r="A36" s="40">
        <v>7</v>
      </c>
      <c r="B36" s="33">
        <f t="shared" si="2"/>
        <v>329.55970833333333</v>
      </c>
      <c r="C36" s="34">
        <f t="shared" si="0"/>
        <v>178.03125</v>
      </c>
      <c r="D36" s="33">
        <f t="shared" si="1"/>
        <v>103.48174841666666</v>
      </c>
      <c r="F36"/>
      <c r="G36" s="178"/>
      <c r="H36" s="178"/>
      <c r="I36" s="178"/>
      <c r="J36" s="153"/>
      <c r="K36" s="103"/>
    </row>
    <row r="37" spans="1:11" ht="14.25" x14ac:dyDescent="0.2">
      <c r="A37" s="40">
        <v>6</v>
      </c>
      <c r="B37" s="33">
        <f t="shared" si="2"/>
        <v>282.47974999999997</v>
      </c>
      <c r="C37" s="34">
        <f t="shared" si="0"/>
        <v>152.59821428571428</v>
      </c>
      <c r="D37" s="33">
        <f t="shared" si="1"/>
        <v>88.698641499999994</v>
      </c>
      <c r="F37"/>
    </row>
    <row r="38" spans="1:11" ht="14.25" x14ac:dyDescent="0.2">
      <c r="A38" s="40">
        <v>5</v>
      </c>
      <c r="B38" s="33">
        <f t="shared" si="2"/>
        <v>235.39979166666666</v>
      </c>
      <c r="C38" s="34">
        <f t="shared" si="0"/>
        <v>127.16517857142856</v>
      </c>
      <c r="D38" s="33">
        <f t="shared" si="1"/>
        <v>73.915534583333326</v>
      </c>
      <c r="F38"/>
    </row>
    <row r="39" spans="1:11" ht="14.25" x14ac:dyDescent="0.2">
      <c r="A39" s="40">
        <v>4</v>
      </c>
      <c r="B39" s="33">
        <f t="shared" si="2"/>
        <v>188.31983333333332</v>
      </c>
      <c r="C39" s="34">
        <f t="shared" si="0"/>
        <v>101.73214285714285</v>
      </c>
      <c r="D39" s="33">
        <f t="shared" si="1"/>
        <v>59.132427666666665</v>
      </c>
      <c r="F39"/>
    </row>
    <row r="40" spans="1:11" ht="14.25" x14ac:dyDescent="0.2">
      <c r="A40" s="40">
        <v>3</v>
      </c>
      <c r="B40" s="33">
        <f t="shared" si="2"/>
        <v>141.23987499999998</v>
      </c>
      <c r="C40" s="34">
        <f t="shared" si="0"/>
        <v>76.299107142857139</v>
      </c>
      <c r="D40" s="33">
        <f t="shared" si="1"/>
        <v>44.349320749999997</v>
      </c>
      <c r="F40"/>
    </row>
    <row r="41" spans="1:11" ht="14.25" x14ac:dyDescent="0.2">
      <c r="A41" s="40">
        <v>2</v>
      </c>
      <c r="B41" s="33">
        <f t="shared" si="2"/>
        <v>94.15991666666666</v>
      </c>
      <c r="C41" s="34">
        <f t="shared" si="0"/>
        <v>50.866071428571423</v>
      </c>
      <c r="D41" s="33">
        <f t="shared" si="1"/>
        <v>29.566213833333332</v>
      </c>
      <c r="F41"/>
    </row>
    <row r="42" spans="1:11" ht="15" thickBot="1" x14ac:dyDescent="0.25">
      <c r="A42" s="105">
        <v>1</v>
      </c>
      <c r="B42" s="35">
        <f t="shared" si="2"/>
        <v>47.07995833333333</v>
      </c>
      <c r="C42" s="106">
        <f t="shared" si="0"/>
        <v>25.433035714285712</v>
      </c>
      <c r="D42" s="35">
        <f t="shared" si="1"/>
        <v>14.783106916666666</v>
      </c>
      <c r="F42"/>
    </row>
    <row r="46" spans="1:11" s="56" customFormat="1" ht="29.25" hidden="1" thickBot="1" x14ac:dyDescent="0.25">
      <c r="A46" s="55"/>
      <c r="B46" s="51" t="s">
        <v>43</v>
      </c>
      <c r="C46" s="52">
        <v>6.33</v>
      </c>
      <c r="D46" s="55"/>
      <c r="F46" s="57"/>
    </row>
  </sheetData>
  <sheetProtection algorithmName="SHA-512" hashValue="f0DJvkBPXT4jIZ+cdPacH48W1Kjr8Tnxs5MJSSbDvNCKsQw2QKFiFgPcagmnuEEakf1CoQsYT79jzVnCosPZgw==" saltValue="4uFI0nyMfIO/qwx+9IY/uA==" spinCount="100000" sheet="1" objects="1" scenarios="1"/>
  <protectedRanges>
    <protectedRange sqref="J35" name="CALCULO RC_2"/>
    <protectedRange sqref="J25" name="RET TP_2"/>
    <protectedRange sqref="J22" name="DED_2"/>
    <protectedRange sqref="J7" name="RET TC_2"/>
  </protectedRanges>
  <mergeCells count="36">
    <mergeCell ref="G33:I33"/>
    <mergeCell ref="G35:I36"/>
    <mergeCell ref="J35:J36"/>
    <mergeCell ref="G28:J29"/>
    <mergeCell ref="G31:G32"/>
    <mergeCell ref="H31:H32"/>
    <mergeCell ref="I31:I32"/>
    <mergeCell ref="J31:J32"/>
    <mergeCell ref="G19:K20"/>
    <mergeCell ref="G22:I23"/>
    <mergeCell ref="J22:J23"/>
    <mergeCell ref="G25:I26"/>
    <mergeCell ref="J25:J26"/>
    <mergeCell ref="G15:G16"/>
    <mergeCell ref="H15:H16"/>
    <mergeCell ref="I15:I16"/>
    <mergeCell ref="J15:J16"/>
    <mergeCell ref="G17:H17"/>
    <mergeCell ref="G7:I8"/>
    <mergeCell ref="J7:J8"/>
    <mergeCell ref="G10:J11"/>
    <mergeCell ref="G13:G14"/>
    <mergeCell ref="H13:H14"/>
    <mergeCell ref="I13:I14"/>
    <mergeCell ref="J13:J14"/>
    <mergeCell ref="J1:K1"/>
    <mergeCell ref="G3:G4"/>
    <mergeCell ref="H3:H4"/>
    <mergeCell ref="I3:I4"/>
    <mergeCell ref="J3:J4"/>
    <mergeCell ref="K3:K4"/>
    <mergeCell ref="A1:A2"/>
    <mergeCell ref="B1:B2"/>
    <mergeCell ref="C1:C2"/>
    <mergeCell ref="D1:D2"/>
    <mergeCell ref="G1:I1"/>
  </mergeCells>
  <phoneticPr fontId="0" type="noConversion"/>
  <hyperlinks>
    <hyperlink ref="J35:J36" r:id="rId1" display="CALCULO RC"/>
  </hyperlinks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L21" sqref="L21"/>
    </sheetView>
  </sheetViews>
  <sheetFormatPr baseColWidth="10" defaultRowHeight="12.75" x14ac:dyDescent="0.2"/>
  <cols>
    <col min="1" max="1" width="25.140625" style="1" bestFit="1" customWidth="1"/>
    <col min="2" max="2" width="25.140625" style="1" customWidth="1"/>
    <col min="3" max="3" width="19.28515625" style="30" hidden="1" customWidth="1"/>
    <col min="4" max="4" width="17.28515625" style="1" bestFit="1" customWidth="1"/>
    <col min="5" max="5" width="6.85546875" customWidth="1"/>
    <col min="6" max="6" width="6.85546875" style="2" bestFit="1" customWidth="1"/>
    <col min="7" max="7" width="22.85546875" customWidth="1"/>
    <col min="8" max="8" width="21.7109375" customWidth="1"/>
    <col min="9" max="9" width="23.7109375" customWidth="1"/>
    <col min="10" max="10" width="21.7109375" customWidth="1"/>
    <col min="11" max="11" width="18.42578125" customWidth="1"/>
  </cols>
  <sheetData>
    <row r="1" spans="1:11" ht="40.9" customHeight="1" x14ac:dyDescent="0.2">
      <c r="A1" s="161" t="s">
        <v>0</v>
      </c>
      <c r="B1" s="112" t="s">
        <v>47</v>
      </c>
      <c r="C1" s="163" t="s">
        <v>73</v>
      </c>
      <c r="D1" s="116" t="s">
        <v>72</v>
      </c>
      <c r="F1"/>
      <c r="G1" s="165" t="s">
        <v>48</v>
      </c>
      <c r="H1" s="166"/>
      <c r="I1" s="167"/>
      <c r="J1" s="165" t="s">
        <v>49</v>
      </c>
      <c r="K1" s="167"/>
    </row>
    <row r="2" spans="1:11" ht="23.25" thickBot="1" x14ac:dyDescent="0.25">
      <c r="A2" s="180"/>
      <c r="B2" s="113"/>
      <c r="C2" s="115"/>
      <c r="D2" s="117"/>
      <c r="F2"/>
      <c r="G2" s="63" t="s">
        <v>50</v>
      </c>
      <c r="H2" s="63" t="s">
        <v>51</v>
      </c>
      <c r="I2" s="63" t="s">
        <v>52</v>
      </c>
      <c r="J2" s="64" t="s">
        <v>53</v>
      </c>
      <c r="K2" s="63" t="s">
        <v>54</v>
      </c>
    </row>
    <row r="3" spans="1:11" ht="14.25" x14ac:dyDescent="0.2">
      <c r="A3" s="40">
        <v>40</v>
      </c>
      <c r="B3" s="33">
        <f>PARAMETROS!G35</f>
        <v>1807.575</v>
      </c>
      <c r="C3" s="34"/>
      <c r="D3" s="33"/>
      <c r="F3"/>
      <c r="G3" s="168">
        <v>7</v>
      </c>
      <c r="H3" s="170">
        <v>1050</v>
      </c>
      <c r="I3" s="170">
        <v>4070.1</v>
      </c>
      <c r="J3" s="172">
        <v>1050</v>
      </c>
      <c r="K3" s="172">
        <v>4070.1</v>
      </c>
    </row>
    <row r="4" spans="1:11" ht="14.25" x14ac:dyDescent="0.2">
      <c r="A4" s="40">
        <v>39</v>
      </c>
      <c r="B4" s="33">
        <f>PRODUCT(B$3,A4)/A$3</f>
        <v>1762.3856250000001</v>
      </c>
      <c r="C4" s="34">
        <f>(A4/$A$3*7.5*5)/7*30*$C$46</f>
        <v>991.88839285714278</v>
      </c>
      <c r="D4" s="33">
        <f>IF(B4&lt;C4,C4*$I$17%,B4*$I$17%)</f>
        <v>553.38908624999999</v>
      </c>
      <c r="F4"/>
      <c r="G4" s="169"/>
      <c r="H4" s="171"/>
      <c r="I4" s="171"/>
      <c r="J4" s="173"/>
      <c r="K4" s="173"/>
    </row>
    <row r="5" spans="1:11" ht="14.25" x14ac:dyDescent="0.2">
      <c r="A5" s="40">
        <v>38</v>
      </c>
      <c r="B5" s="33">
        <f>PRODUCT(B$3,A5)/A$3</f>
        <v>1717.1962500000002</v>
      </c>
      <c r="C5" s="34">
        <f t="shared" ref="C5:C42" si="0">(A5/$A$3*7.5*5)/7*30*$C$46</f>
        <v>966.45535714285722</v>
      </c>
      <c r="D5" s="33">
        <f t="shared" ref="D5:D42" si="1">IF(B5&lt;C5,C5*$I$17%,B5*$I$17%)</f>
        <v>539.19962250000003</v>
      </c>
      <c r="F5"/>
      <c r="G5" s="65"/>
      <c r="H5" s="66"/>
      <c r="I5" s="66"/>
      <c r="J5" s="67"/>
      <c r="K5" s="66"/>
    </row>
    <row r="6" spans="1:11" ht="15" thickBot="1" x14ac:dyDescent="0.25">
      <c r="A6" s="40">
        <v>37</v>
      </c>
      <c r="B6" s="33">
        <f t="shared" ref="B6:B42" si="2">PRODUCT(B$3,A6)/A$3</f>
        <v>1672.0068750000003</v>
      </c>
      <c r="C6" s="34">
        <f t="shared" si="0"/>
        <v>941.02232142857156</v>
      </c>
      <c r="D6" s="33">
        <f t="shared" si="1"/>
        <v>525.01015875000007</v>
      </c>
      <c r="F6"/>
      <c r="G6" s="65"/>
      <c r="H6" s="68"/>
      <c r="I6" s="66"/>
      <c r="J6" s="67"/>
      <c r="K6" s="66"/>
    </row>
    <row r="7" spans="1:11" ht="14.25" x14ac:dyDescent="0.2">
      <c r="A7" s="40">
        <v>36</v>
      </c>
      <c r="B7" s="33">
        <f t="shared" si="2"/>
        <v>1626.8175000000001</v>
      </c>
      <c r="C7" s="34">
        <f t="shared" si="0"/>
        <v>915.58928571428567</v>
      </c>
      <c r="D7" s="33">
        <f t="shared" si="1"/>
        <v>510.82069500000006</v>
      </c>
      <c r="F7"/>
      <c r="G7" s="122" t="s">
        <v>55</v>
      </c>
      <c r="H7" s="122"/>
      <c r="I7" s="123"/>
      <c r="J7" s="174">
        <v>0</v>
      </c>
      <c r="K7" s="66"/>
    </row>
    <row r="8" spans="1:11" ht="15" thickBot="1" x14ac:dyDescent="0.25">
      <c r="A8" s="40">
        <v>35</v>
      </c>
      <c r="B8" s="33">
        <f t="shared" si="2"/>
        <v>1581.628125</v>
      </c>
      <c r="C8" s="34">
        <f t="shared" si="0"/>
        <v>890.15625</v>
      </c>
      <c r="D8" s="33">
        <f t="shared" si="1"/>
        <v>496.63123124999998</v>
      </c>
      <c r="F8"/>
      <c r="G8" s="122"/>
      <c r="H8" s="122"/>
      <c r="I8" s="123"/>
      <c r="J8" s="175"/>
      <c r="K8" s="66"/>
    </row>
    <row r="9" spans="1:11" ht="15" thickBot="1" x14ac:dyDescent="0.25">
      <c r="A9" s="40">
        <v>34</v>
      </c>
      <c r="B9" s="33">
        <f t="shared" si="2"/>
        <v>1536.43875</v>
      </c>
      <c r="C9" s="34">
        <f t="shared" si="0"/>
        <v>864.72321428571433</v>
      </c>
      <c r="D9" s="33">
        <f t="shared" si="1"/>
        <v>482.44176750000003</v>
      </c>
      <c r="F9"/>
      <c r="G9" s="69"/>
      <c r="H9" s="70"/>
      <c r="I9" s="71"/>
      <c r="J9" s="72"/>
      <c r="K9" s="66"/>
    </row>
    <row r="10" spans="1:11" ht="14.25" x14ac:dyDescent="0.2">
      <c r="A10" s="40">
        <v>33</v>
      </c>
      <c r="B10" s="33">
        <f t="shared" si="2"/>
        <v>1491.2493749999999</v>
      </c>
      <c r="C10" s="34">
        <f t="shared" si="0"/>
        <v>839.29017857142844</v>
      </c>
      <c r="D10" s="33">
        <f t="shared" si="1"/>
        <v>468.25230374999995</v>
      </c>
      <c r="F10"/>
      <c r="G10" s="126" t="s">
        <v>56</v>
      </c>
      <c r="H10" s="127"/>
      <c r="I10" s="127"/>
      <c r="J10" s="128"/>
      <c r="K10" s="66"/>
    </row>
    <row r="11" spans="1:11" ht="15" thickBot="1" x14ac:dyDescent="0.25">
      <c r="A11" s="40">
        <v>32</v>
      </c>
      <c r="B11" s="33">
        <f t="shared" si="2"/>
        <v>1446.06</v>
      </c>
      <c r="C11" s="34">
        <f t="shared" si="0"/>
        <v>813.85714285714278</v>
      </c>
      <c r="D11" s="33">
        <f t="shared" si="1"/>
        <v>454.06283999999999</v>
      </c>
      <c r="F11"/>
      <c r="G11" s="129"/>
      <c r="H11" s="130"/>
      <c r="I11" s="130"/>
      <c r="J11" s="131"/>
      <c r="K11" s="66"/>
    </row>
    <row r="12" spans="1:11" ht="15" thickBot="1" x14ac:dyDescent="0.25">
      <c r="A12" s="40">
        <v>31</v>
      </c>
      <c r="B12" s="33">
        <f t="shared" si="2"/>
        <v>1400.870625</v>
      </c>
      <c r="C12" s="34">
        <f t="shared" si="0"/>
        <v>788.42410714285711</v>
      </c>
      <c r="D12" s="33">
        <f t="shared" si="1"/>
        <v>439.87337625000004</v>
      </c>
      <c r="F12"/>
      <c r="G12" s="73"/>
      <c r="H12" s="84" t="s">
        <v>57</v>
      </c>
      <c r="I12" s="75" t="s">
        <v>58</v>
      </c>
      <c r="J12" s="102" t="s">
        <v>59</v>
      </c>
      <c r="K12" s="66"/>
    </row>
    <row r="13" spans="1:11" ht="14.25" x14ac:dyDescent="0.2">
      <c r="A13" s="40">
        <v>30</v>
      </c>
      <c r="B13" s="33">
        <f t="shared" si="2"/>
        <v>1355.6812500000001</v>
      </c>
      <c r="C13" s="34">
        <f t="shared" si="0"/>
        <v>762.99107142857144</v>
      </c>
      <c r="D13" s="33">
        <f t="shared" si="1"/>
        <v>425.68391250000002</v>
      </c>
      <c r="F13"/>
      <c r="G13" s="140" t="s">
        <v>60</v>
      </c>
      <c r="H13" s="134">
        <f>IF(J7&gt;=H3,J7,H3)</f>
        <v>1050</v>
      </c>
      <c r="I13" s="158">
        <v>23.6</v>
      </c>
      <c r="J13" s="142">
        <f>H13*I13%</f>
        <v>247.8</v>
      </c>
      <c r="K13" s="66"/>
    </row>
    <row r="14" spans="1:11" ht="15" thickBot="1" x14ac:dyDescent="0.25">
      <c r="A14" s="40">
        <v>29</v>
      </c>
      <c r="B14" s="33">
        <f t="shared" si="2"/>
        <v>1310.4918750000002</v>
      </c>
      <c r="C14" s="34">
        <f t="shared" si="0"/>
        <v>737.55803571428578</v>
      </c>
      <c r="D14" s="33">
        <f t="shared" si="1"/>
        <v>411.49444875000006</v>
      </c>
      <c r="F14"/>
      <c r="G14" s="141"/>
      <c r="H14" s="135"/>
      <c r="I14" s="159"/>
      <c r="J14" s="160"/>
      <c r="K14" s="66"/>
    </row>
    <row r="15" spans="1:11" ht="14.25" x14ac:dyDescent="0.2">
      <c r="A15" s="40">
        <v>28</v>
      </c>
      <c r="B15" s="33">
        <f t="shared" si="2"/>
        <v>1265.3025</v>
      </c>
      <c r="C15" s="34">
        <f t="shared" si="0"/>
        <v>712.125</v>
      </c>
      <c r="D15" s="33">
        <f t="shared" si="1"/>
        <v>397.30498499999999</v>
      </c>
      <c r="F15"/>
      <c r="G15" s="140" t="s">
        <v>61</v>
      </c>
      <c r="H15" s="134">
        <f>IF(J7&gt;=J3,J7,J3)</f>
        <v>1050</v>
      </c>
      <c r="I15" s="158">
        <v>7.8</v>
      </c>
      <c r="J15" s="142">
        <f>H15*I15%</f>
        <v>81.900000000000006</v>
      </c>
      <c r="K15" s="66"/>
    </row>
    <row r="16" spans="1:11" ht="15" thickBot="1" x14ac:dyDescent="0.25">
      <c r="A16" s="40">
        <v>27</v>
      </c>
      <c r="B16" s="33">
        <f t="shared" si="2"/>
        <v>1220.1131250000001</v>
      </c>
      <c r="C16" s="34">
        <f t="shared" si="0"/>
        <v>686.69196428571422</v>
      </c>
      <c r="D16" s="33">
        <f t="shared" si="1"/>
        <v>383.11552125000003</v>
      </c>
      <c r="F16"/>
      <c r="G16" s="141"/>
      <c r="H16" s="135"/>
      <c r="I16" s="159"/>
      <c r="J16" s="160"/>
      <c r="K16" s="66"/>
    </row>
    <row r="17" spans="1:11" ht="15" thickBot="1" x14ac:dyDescent="0.25">
      <c r="A17" s="40">
        <v>26</v>
      </c>
      <c r="B17" s="33">
        <f t="shared" si="2"/>
        <v>1174.9237500000002</v>
      </c>
      <c r="C17" s="34">
        <f t="shared" si="0"/>
        <v>661.25892857142867</v>
      </c>
      <c r="D17" s="33">
        <f t="shared" si="1"/>
        <v>368.92605750000007</v>
      </c>
      <c r="F17"/>
      <c r="G17" s="144" t="s">
        <v>62</v>
      </c>
      <c r="H17" s="145"/>
      <c r="I17" s="77">
        <f>(I13+I15)</f>
        <v>31.400000000000002</v>
      </c>
      <c r="J17" s="78">
        <f>SUM(J13:J16)</f>
        <v>329.70000000000005</v>
      </c>
      <c r="K17" s="66"/>
    </row>
    <row r="18" spans="1:11" ht="14.25" x14ac:dyDescent="0.2">
      <c r="A18" s="40">
        <v>25</v>
      </c>
      <c r="B18" s="33">
        <f t="shared" si="2"/>
        <v>1129.734375</v>
      </c>
      <c r="C18" s="34">
        <f t="shared" si="0"/>
        <v>635.82589285714289</v>
      </c>
      <c r="D18" s="33">
        <f t="shared" si="1"/>
        <v>354.73659375</v>
      </c>
      <c r="F18"/>
      <c r="G18" s="79"/>
      <c r="H18" s="80"/>
      <c r="I18" s="81"/>
      <c r="J18" s="82"/>
      <c r="K18" s="66"/>
    </row>
    <row r="19" spans="1:11" ht="14.25" x14ac:dyDescent="0.2">
      <c r="A19" s="40">
        <v>24</v>
      </c>
      <c r="B19" s="33">
        <f t="shared" si="2"/>
        <v>1084.5450000000001</v>
      </c>
      <c r="C19" s="34">
        <f t="shared" si="0"/>
        <v>610.39285714285711</v>
      </c>
      <c r="D19" s="33">
        <f t="shared" si="1"/>
        <v>340.54713000000004</v>
      </c>
      <c r="F19"/>
      <c r="G19" s="146" t="s">
        <v>74</v>
      </c>
      <c r="H19" s="146"/>
      <c r="I19" s="146"/>
      <c r="J19" s="146"/>
      <c r="K19" s="146"/>
    </row>
    <row r="20" spans="1:11" ht="14.25" x14ac:dyDescent="0.2">
      <c r="A20" s="40">
        <v>23</v>
      </c>
      <c r="B20" s="33">
        <f t="shared" si="2"/>
        <v>1039.3556249999999</v>
      </c>
      <c r="C20" s="34">
        <f t="shared" si="0"/>
        <v>584.95982142857133</v>
      </c>
      <c r="D20" s="33">
        <f t="shared" si="1"/>
        <v>326.35766624999997</v>
      </c>
      <c r="F20"/>
      <c r="G20" s="146"/>
      <c r="H20" s="146"/>
      <c r="I20" s="146"/>
      <c r="J20" s="146"/>
      <c r="K20" s="146"/>
    </row>
    <row r="21" spans="1:11" ht="15" thickBot="1" x14ac:dyDescent="0.25">
      <c r="A21" s="40">
        <v>22</v>
      </c>
      <c r="B21" s="33">
        <f t="shared" si="2"/>
        <v>994.16624999999999</v>
      </c>
      <c r="C21" s="34">
        <f t="shared" si="0"/>
        <v>559.52678571428578</v>
      </c>
      <c r="D21" s="33">
        <f t="shared" si="1"/>
        <v>312.16820250000001</v>
      </c>
      <c r="F21"/>
      <c r="G21" s="65"/>
      <c r="H21" s="68"/>
      <c r="I21" s="66"/>
      <c r="J21" s="67"/>
      <c r="K21" s="66"/>
    </row>
    <row r="22" spans="1:11" ht="14.25" x14ac:dyDescent="0.2">
      <c r="A22" s="40">
        <v>21</v>
      </c>
      <c r="B22" s="33">
        <f t="shared" si="2"/>
        <v>948.97687500000006</v>
      </c>
      <c r="C22" s="34">
        <f t="shared" si="0"/>
        <v>534.09375</v>
      </c>
      <c r="D22" s="33">
        <f t="shared" si="1"/>
        <v>297.97873875000005</v>
      </c>
      <c r="F22"/>
      <c r="G22" s="122" t="s">
        <v>64</v>
      </c>
      <c r="H22" s="122"/>
      <c r="I22" s="123"/>
      <c r="J22" s="176">
        <v>0</v>
      </c>
      <c r="K22" s="66"/>
    </row>
    <row r="23" spans="1:11" ht="15" thickBot="1" x14ac:dyDescent="0.25">
      <c r="A23" s="40">
        <v>20</v>
      </c>
      <c r="B23" s="33">
        <f t="shared" si="2"/>
        <v>903.78750000000002</v>
      </c>
      <c r="C23" s="34">
        <f t="shared" si="0"/>
        <v>508.66071428571422</v>
      </c>
      <c r="D23" s="33">
        <f t="shared" si="1"/>
        <v>283.78927500000003</v>
      </c>
      <c r="F23"/>
      <c r="G23" s="122"/>
      <c r="H23" s="122"/>
      <c r="I23" s="123"/>
      <c r="J23" s="177"/>
      <c r="K23" s="66"/>
    </row>
    <row r="24" spans="1:11" ht="15" thickBot="1" x14ac:dyDescent="0.25">
      <c r="A24" s="40">
        <v>19</v>
      </c>
      <c r="B24" s="33">
        <f t="shared" si="2"/>
        <v>858.5981250000001</v>
      </c>
      <c r="C24" s="34">
        <f t="shared" si="0"/>
        <v>483.22767857142861</v>
      </c>
      <c r="D24" s="33">
        <f t="shared" si="1"/>
        <v>269.59981125000002</v>
      </c>
      <c r="F24"/>
      <c r="G24" s="65"/>
      <c r="H24" s="68"/>
      <c r="I24" s="66"/>
      <c r="J24" s="67"/>
      <c r="K24" s="66"/>
    </row>
    <row r="25" spans="1:11" ht="14.25" x14ac:dyDescent="0.2">
      <c r="A25" s="40">
        <v>18</v>
      </c>
      <c r="B25" s="33">
        <f t="shared" si="2"/>
        <v>813.40875000000005</v>
      </c>
      <c r="C25" s="34">
        <f t="shared" si="0"/>
        <v>457.79464285714283</v>
      </c>
      <c r="D25" s="33">
        <f t="shared" si="1"/>
        <v>255.41034750000003</v>
      </c>
      <c r="F25"/>
      <c r="G25" s="122" t="s">
        <v>65</v>
      </c>
      <c r="H25" s="122"/>
      <c r="I25" s="123"/>
      <c r="J25" s="174">
        <v>0</v>
      </c>
      <c r="K25" s="66"/>
    </row>
    <row r="26" spans="1:11" ht="15" thickBot="1" x14ac:dyDescent="0.25">
      <c r="A26" s="40">
        <v>17</v>
      </c>
      <c r="B26" s="33">
        <f t="shared" si="2"/>
        <v>768.21937500000001</v>
      </c>
      <c r="C26" s="34">
        <f t="shared" si="0"/>
        <v>432.36160714285717</v>
      </c>
      <c r="D26" s="33">
        <f t="shared" si="1"/>
        <v>241.22088375000001</v>
      </c>
      <c r="F26"/>
      <c r="G26" s="122"/>
      <c r="H26" s="122"/>
      <c r="I26" s="123"/>
      <c r="J26" s="175"/>
      <c r="K26" s="66"/>
    </row>
    <row r="27" spans="1:11" ht="15" thickBot="1" x14ac:dyDescent="0.25">
      <c r="A27" s="40">
        <v>16</v>
      </c>
      <c r="B27" s="33">
        <f t="shared" si="2"/>
        <v>723.03</v>
      </c>
      <c r="C27" s="34">
        <f t="shared" si="0"/>
        <v>406.92857142857139</v>
      </c>
      <c r="D27" s="33">
        <f t="shared" si="1"/>
        <v>227.03142</v>
      </c>
      <c r="F27"/>
      <c r="G27" s="65"/>
      <c r="H27" s="68"/>
      <c r="I27" s="66"/>
      <c r="J27" s="67"/>
      <c r="K27" s="66"/>
    </row>
    <row r="28" spans="1:11" ht="14.25" x14ac:dyDescent="0.2">
      <c r="A28" s="40">
        <v>15</v>
      </c>
      <c r="B28" s="33">
        <f t="shared" si="2"/>
        <v>677.84062500000005</v>
      </c>
      <c r="C28" s="34">
        <f t="shared" si="0"/>
        <v>381.49553571428572</v>
      </c>
      <c r="D28" s="33">
        <f t="shared" si="1"/>
        <v>212.84195625000001</v>
      </c>
      <c r="F28"/>
      <c r="G28" s="126" t="s">
        <v>66</v>
      </c>
      <c r="H28" s="127"/>
      <c r="I28" s="127"/>
      <c r="J28" s="128"/>
      <c r="K28" s="66"/>
    </row>
    <row r="29" spans="1:11" ht="15" thickBot="1" x14ac:dyDescent="0.25">
      <c r="A29" s="40">
        <v>14</v>
      </c>
      <c r="B29" s="33">
        <f t="shared" si="2"/>
        <v>632.65125</v>
      </c>
      <c r="C29" s="34">
        <f t="shared" si="0"/>
        <v>356.0625</v>
      </c>
      <c r="D29" s="33">
        <f t="shared" si="1"/>
        <v>198.65249249999999</v>
      </c>
      <c r="F29"/>
      <c r="G29" s="129"/>
      <c r="H29" s="130"/>
      <c r="I29" s="130"/>
      <c r="J29" s="131"/>
      <c r="K29" s="66"/>
    </row>
    <row r="30" spans="1:11" ht="15" thickBot="1" x14ac:dyDescent="0.25">
      <c r="A30" s="40">
        <v>13</v>
      </c>
      <c r="B30" s="33">
        <f t="shared" si="2"/>
        <v>587.46187500000008</v>
      </c>
      <c r="C30" s="34">
        <f t="shared" si="0"/>
        <v>330.62946428571433</v>
      </c>
      <c r="D30" s="33">
        <f t="shared" si="1"/>
        <v>184.46302875000003</v>
      </c>
      <c r="F30"/>
      <c r="G30" s="83" t="s">
        <v>67</v>
      </c>
      <c r="H30" s="84" t="s">
        <v>57</v>
      </c>
      <c r="I30" s="75" t="s">
        <v>68</v>
      </c>
      <c r="J30" s="76" t="s">
        <v>59</v>
      </c>
      <c r="K30" s="66"/>
    </row>
    <row r="31" spans="1:11" ht="14.25" x14ac:dyDescent="0.2">
      <c r="A31" s="40">
        <v>12</v>
      </c>
      <c r="B31" s="33">
        <f t="shared" si="2"/>
        <v>542.27250000000004</v>
      </c>
      <c r="C31" s="34">
        <f t="shared" si="0"/>
        <v>305.19642857142856</v>
      </c>
      <c r="D31" s="33">
        <f t="shared" si="1"/>
        <v>170.27356500000002</v>
      </c>
      <c r="F31"/>
      <c r="G31" s="179">
        <f>(J22/40*7.5*5)/7*30*$C$46</f>
        <v>0</v>
      </c>
      <c r="H31" s="156">
        <f>IF(J25&lt;G31,G31,J25)</f>
        <v>0</v>
      </c>
      <c r="I31" s="158">
        <v>31.4</v>
      </c>
      <c r="J31" s="142">
        <f>H31*I31%</f>
        <v>0</v>
      </c>
      <c r="K31" s="66"/>
    </row>
    <row r="32" spans="1:11" ht="15" thickBot="1" x14ac:dyDescent="0.25">
      <c r="A32" s="40">
        <v>11</v>
      </c>
      <c r="B32" s="33">
        <f t="shared" si="2"/>
        <v>497.083125</v>
      </c>
      <c r="C32" s="34">
        <f t="shared" si="0"/>
        <v>279.76339285714289</v>
      </c>
      <c r="D32" s="33">
        <f t="shared" si="1"/>
        <v>156.08410125</v>
      </c>
      <c r="F32"/>
      <c r="G32" s="155"/>
      <c r="H32" s="157"/>
      <c r="I32" s="159"/>
      <c r="J32" s="160"/>
      <c r="K32" s="66"/>
    </row>
    <row r="33" spans="1:11" ht="15" thickBot="1" x14ac:dyDescent="0.25">
      <c r="A33" s="40">
        <v>10</v>
      </c>
      <c r="B33" s="33">
        <f t="shared" si="2"/>
        <v>451.89375000000001</v>
      </c>
      <c r="C33" s="34">
        <f t="shared" si="0"/>
        <v>254.33035714285711</v>
      </c>
      <c r="D33" s="33">
        <f t="shared" si="1"/>
        <v>141.89463750000002</v>
      </c>
      <c r="F33"/>
      <c r="G33" s="149" t="s">
        <v>69</v>
      </c>
      <c r="H33" s="150"/>
      <c r="I33" s="151"/>
      <c r="J33" s="78">
        <f>SUM(J31)</f>
        <v>0</v>
      </c>
      <c r="K33" s="66"/>
    </row>
    <row r="34" spans="1:11" ht="14.25" x14ac:dyDescent="0.2">
      <c r="A34" s="40">
        <v>9</v>
      </c>
      <c r="B34" s="33">
        <f t="shared" si="2"/>
        <v>406.70437500000003</v>
      </c>
      <c r="C34" s="34">
        <f t="shared" si="0"/>
        <v>228.89732142857142</v>
      </c>
      <c r="D34" s="33">
        <f t="shared" si="1"/>
        <v>127.70517375000001</v>
      </c>
      <c r="F34"/>
      <c r="G34" s="65"/>
      <c r="H34" s="68"/>
      <c r="I34" s="66"/>
      <c r="J34" s="67"/>
      <c r="K34" s="66"/>
    </row>
    <row r="35" spans="1:11" ht="14.25" x14ac:dyDescent="0.2">
      <c r="A35" s="40">
        <v>8</v>
      </c>
      <c r="B35" s="33">
        <f t="shared" si="2"/>
        <v>361.51499999999999</v>
      </c>
      <c r="C35" s="34">
        <f t="shared" si="0"/>
        <v>203.46428571428569</v>
      </c>
      <c r="D35" s="33">
        <f t="shared" si="1"/>
        <v>113.51571</v>
      </c>
      <c r="F35" s="13"/>
      <c r="G35" s="178" t="s">
        <v>70</v>
      </c>
      <c r="H35" s="178"/>
      <c r="I35" s="178"/>
      <c r="J35" s="153" t="s">
        <v>71</v>
      </c>
      <c r="K35" s="103"/>
    </row>
    <row r="36" spans="1:11" ht="14.25" x14ac:dyDescent="0.2">
      <c r="A36" s="40">
        <v>7</v>
      </c>
      <c r="B36" s="33">
        <f t="shared" si="2"/>
        <v>316.325625</v>
      </c>
      <c r="C36" s="34">
        <f t="shared" si="0"/>
        <v>178.03125</v>
      </c>
      <c r="D36" s="33">
        <f t="shared" si="1"/>
        <v>99.326246249999997</v>
      </c>
      <c r="F36"/>
      <c r="G36" s="178"/>
      <c r="H36" s="178"/>
      <c r="I36" s="178"/>
      <c r="J36" s="153"/>
      <c r="K36" s="103"/>
    </row>
    <row r="37" spans="1:11" ht="14.25" x14ac:dyDescent="0.2">
      <c r="A37" s="40">
        <v>6</v>
      </c>
      <c r="B37" s="33">
        <f t="shared" si="2"/>
        <v>271.13625000000002</v>
      </c>
      <c r="C37" s="34">
        <f t="shared" si="0"/>
        <v>152.59821428571428</v>
      </c>
      <c r="D37" s="33">
        <f t="shared" si="1"/>
        <v>85.13678250000001</v>
      </c>
      <c r="F37"/>
    </row>
    <row r="38" spans="1:11" ht="14.25" x14ac:dyDescent="0.2">
      <c r="A38" s="40">
        <v>5</v>
      </c>
      <c r="B38" s="33">
        <f t="shared" si="2"/>
        <v>225.94687500000001</v>
      </c>
      <c r="C38" s="34">
        <f t="shared" si="0"/>
        <v>127.16517857142856</v>
      </c>
      <c r="D38" s="33">
        <f t="shared" si="1"/>
        <v>70.947318750000008</v>
      </c>
      <c r="F38"/>
    </row>
    <row r="39" spans="1:11" ht="14.25" x14ac:dyDescent="0.2">
      <c r="A39" s="40">
        <v>4</v>
      </c>
      <c r="B39" s="33">
        <f t="shared" si="2"/>
        <v>180.75749999999999</v>
      </c>
      <c r="C39" s="34">
        <f t="shared" si="0"/>
        <v>101.73214285714285</v>
      </c>
      <c r="D39" s="33">
        <f t="shared" si="1"/>
        <v>56.757854999999999</v>
      </c>
      <c r="F39"/>
    </row>
    <row r="40" spans="1:11" ht="14.25" x14ac:dyDescent="0.2">
      <c r="A40" s="40">
        <v>3</v>
      </c>
      <c r="B40" s="33">
        <f t="shared" si="2"/>
        <v>135.56812500000001</v>
      </c>
      <c r="C40" s="34">
        <f t="shared" si="0"/>
        <v>76.299107142857139</v>
      </c>
      <c r="D40" s="33">
        <f t="shared" si="1"/>
        <v>42.568391250000005</v>
      </c>
      <c r="F40"/>
    </row>
    <row r="41" spans="1:11" ht="14.25" x14ac:dyDescent="0.2">
      <c r="A41" s="40">
        <v>2</v>
      </c>
      <c r="B41" s="33">
        <f t="shared" si="2"/>
        <v>90.378749999999997</v>
      </c>
      <c r="C41" s="34">
        <f t="shared" si="0"/>
        <v>50.866071428571423</v>
      </c>
      <c r="D41" s="33">
        <f t="shared" si="1"/>
        <v>28.3789275</v>
      </c>
      <c r="F41"/>
    </row>
    <row r="42" spans="1:11" ht="15" thickBot="1" x14ac:dyDescent="0.25">
      <c r="A42" s="105">
        <v>1</v>
      </c>
      <c r="B42" s="35">
        <f t="shared" si="2"/>
        <v>45.189374999999998</v>
      </c>
      <c r="C42" s="106">
        <f t="shared" si="0"/>
        <v>25.433035714285712</v>
      </c>
      <c r="D42" s="35">
        <f t="shared" si="1"/>
        <v>14.18946375</v>
      </c>
      <c r="F42"/>
    </row>
    <row r="46" spans="1:11" s="56" customFormat="1" ht="29.25" hidden="1" thickBot="1" x14ac:dyDescent="0.25">
      <c r="A46" s="55"/>
      <c r="B46" s="51" t="s">
        <v>43</v>
      </c>
      <c r="C46" s="52">
        <v>6.33</v>
      </c>
      <c r="D46" s="55"/>
      <c r="F46" s="57"/>
    </row>
  </sheetData>
  <sheetProtection algorithmName="SHA-512" hashValue="B5BMCIme6/RfAqUJq7jmlsezCHcXBFJyYXsTabUibWpeWC9RuaBYQ6LjeW9asUd48AAyintb6jQ1WXbbAETBiA==" saltValue="eg5Fs8/rjk0fTEBj/HJH4A==" spinCount="100000" sheet="1" objects="1" scenarios="1"/>
  <protectedRanges>
    <protectedRange sqref="J35" name="CALCULO RC_2"/>
    <protectedRange sqref="J25" name="RET TP_2"/>
    <protectedRange sqref="J22" name="DED_2"/>
    <protectedRange sqref="J7" name="RET TC_2"/>
  </protectedRanges>
  <mergeCells count="36">
    <mergeCell ref="G33:I33"/>
    <mergeCell ref="G35:I36"/>
    <mergeCell ref="J35:J36"/>
    <mergeCell ref="G28:J29"/>
    <mergeCell ref="G31:G32"/>
    <mergeCell ref="H31:H32"/>
    <mergeCell ref="I31:I32"/>
    <mergeCell ref="J31:J32"/>
    <mergeCell ref="G19:K20"/>
    <mergeCell ref="G22:I23"/>
    <mergeCell ref="J22:J23"/>
    <mergeCell ref="G25:I26"/>
    <mergeCell ref="J25:J26"/>
    <mergeCell ref="G15:G16"/>
    <mergeCell ref="H15:H16"/>
    <mergeCell ref="I15:I16"/>
    <mergeCell ref="J15:J16"/>
    <mergeCell ref="G17:H17"/>
    <mergeCell ref="G7:I8"/>
    <mergeCell ref="J7:J8"/>
    <mergeCell ref="G10:J11"/>
    <mergeCell ref="G13:G14"/>
    <mergeCell ref="H13:H14"/>
    <mergeCell ref="I13:I14"/>
    <mergeCell ref="J13:J14"/>
    <mergeCell ref="J1:K1"/>
    <mergeCell ref="G3:G4"/>
    <mergeCell ref="H3:H4"/>
    <mergeCell ref="I3:I4"/>
    <mergeCell ref="J3:J4"/>
    <mergeCell ref="K3:K4"/>
    <mergeCell ref="A1:A2"/>
    <mergeCell ref="B1:B2"/>
    <mergeCell ref="C1:C2"/>
    <mergeCell ref="D1:D2"/>
    <mergeCell ref="G1:I1"/>
  </mergeCells>
  <phoneticPr fontId="7" type="noConversion"/>
  <hyperlinks>
    <hyperlink ref="J35:J36" r:id="rId1" display="CALCULO RC"/>
  </hyperlinks>
  <pageMargins left="0.75" right="0.75" top="1" bottom="1" header="0" footer="0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C1" workbookViewId="0">
      <selection activeCell="G20" sqref="G20"/>
    </sheetView>
  </sheetViews>
  <sheetFormatPr baseColWidth="10" defaultRowHeight="12.75" x14ac:dyDescent="0.2"/>
  <cols>
    <col min="1" max="1" width="25.140625" bestFit="1" customWidth="1"/>
    <col min="2" max="2" width="17.5703125" style="2" bestFit="1" customWidth="1"/>
    <col min="3" max="3" width="16.7109375" style="2" bestFit="1" customWidth="1"/>
    <col min="4" max="4" width="16.7109375" customWidth="1"/>
    <col min="6" max="6" width="24.140625" bestFit="1" customWidth="1"/>
    <col min="7" max="7" width="11.42578125" style="2" customWidth="1"/>
  </cols>
  <sheetData>
    <row r="1" spans="1:7" x14ac:dyDescent="0.2">
      <c r="A1" s="15" t="s">
        <v>2</v>
      </c>
      <c r="B1" s="41" t="s">
        <v>26</v>
      </c>
      <c r="C1" s="44" t="s">
        <v>20</v>
      </c>
      <c r="D1" s="24"/>
      <c r="F1" s="181" t="s">
        <v>3</v>
      </c>
      <c r="G1" s="181"/>
    </row>
    <row r="2" spans="1:7" x14ac:dyDescent="0.2">
      <c r="A2" s="21" t="s">
        <v>24</v>
      </c>
      <c r="B2" s="26">
        <f>B16</f>
        <v>1298.1383333333333</v>
      </c>
      <c r="C2" s="27">
        <f>C16</f>
        <v>3566.2745125000001</v>
      </c>
      <c r="F2" s="3" t="s">
        <v>4</v>
      </c>
      <c r="G2" s="4">
        <v>656.18</v>
      </c>
    </row>
    <row r="3" spans="1:7" x14ac:dyDescent="0.2">
      <c r="A3" s="16" t="s">
        <v>1</v>
      </c>
      <c r="B3" s="25">
        <f>B26</f>
        <v>1298.1383333333333</v>
      </c>
      <c r="C3" s="27">
        <f>C26</f>
        <v>2839.7607291666664</v>
      </c>
      <c r="F3" s="3" t="s">
        <v>14</v>
      </c>
      <c r="G3" s="4">
        <v>334.02</v>
      </c>
    </row>
    <row r="4" spans="1:7" x14ac:dyDescent="0.2">
      <c r="A4" s="16" t="s">
        <v>9</v>
      </c>
      <c r="B4" s="25">
        <f>B36</f>
        <v>1141.5049999999999</v>
      </c>
      <c r="C4" s="27">
        <f>C36</f>
        <v>2271.808583333333</v>
      </c>
      <c r="F4" s="3" t="s">
        <v>15</v>
      </c>
      <c r="G4" s="4">
        <v>615.1</v>
      </c>
    </row>
    <row r="5" spans="1:7" ht="13.5" thickBot="1" x14ac:dyDescent="0.25">
      <c r="A5" s="16" t="s">
        <v>11</v>
      </c>
      <c r="B5" s="25">
        <f>G21</f>
        <v>2192.3416666666667</v>
      </c>
      <c r="C5" s="27"/>
      <c r="F5" s="5" t="s">
        <v>7</v>
      </c>
      <c r="G5" s="6"/>
    </row>
    <row r="6" spans="1:7" ht="13.5" thickTop="1" x14ac:dyDescent="0.2">
      <c r="A6" s="16" t="s">
        <v>5</v>
      </c>
      <c r="B6" s="25">
        <f>G9</f>
        <v>1883.1983333333333</v>
      </c>
      <c r="C6" s="27"/>
      <c r="F6" s="28" t="s">
        <v>39</v>
      </c>
      <c r="G6" s="45">
        <v>68.069999999999993</v>
      </c>
    </row>
    <row r="7" spans="1:7" x14ac:dyDescent="0.2">
      <c r="A7" s="16" t="s">
        <v>32</v>
      </c>
      <c r="B7" s="25">
        <f>G35</f>
        <v>1807.575</v>
      </c>
      <c r="C7" s="27"/>
      <c r="F7" s="28"/>
      <c r="G7" s="46"/>
    </row>
    <row r="8" spans="1:7" x14ac:dyDescent="0.2">
      <c r="A8" s="19" t="s">
        <v>27</v>
      </c>
      <c r="B8" s="42" t="s">
        <v>18</v>
      </c>
      <c r="C8" s="42" t="s">
        <v>21</v>
      </c>
      <c r="D8" s="20"/>
      <c r="F8" s="28" t="s">
        <v>6</v>
      </c>
      <c r="G8" s="4">
        <f>(650.2+G3+G4)*2/12</f>
        <v>266.55333333333334</v>
      </c>
    </row>
    <row r="9" spans="1:7" x14ac:dyDescent="0.2">
      <c r="A9" t="s">
        <v>37</v>
      </c>
      <c r="B9" s="2">
        <v>1177.08</v>
      </c>
      <c r="C9" s="2">
        <v>1177.08</v>
      </c>
      <c r="F9" s="7" t="s">
        <v>8</v>
      </c>
      <c r="G9" s="8">
        <f>SUM(G2:G5)+(G6/6)+G8</f>
        <v>1883.1983333333333</v>
      </c>
    </row>
    <row r="10" spans="1:7" x14ac:dyDescent="0.2">
      <c r="A10" t="s">
        <v>28</v>
      </c>
      <c r="C10" s="2">
        <v>922.22</v>
      </c>
    </row>
    <row r="11" spans="1:7" x14ac:dyDescent="0.2">
      <c r="A11" t="s">
        <v>23</v>
      </c>
      <c r="C11" s="2">
        <f>(999.41)+(999.41*2.25%)</f>
        <v>1021.8967249999999</v>
      </c>
    </row>
    <row r="13" spans="1:7" x14ac:dyDescent="0.2">
      <c r="A13" t="s">
        <v>16</v>
      </c>
      <c r="B13" s="2">
        <f>726.35/6</f>
        <v>121.05833333333334</v>
      </c>
      <c r="C13" s="2">
        <f>(726.35+C10+C11)/6</f>
        <v>445.07778750000006</v>
      </c>
      <c r="D13" s="2"/>
      <c r="F13" s="14" t="s">
        <v>10</v>
      </c>
      <c r="G13" s="47"/>
    </row>
    <row r="14" spans="1:7" x14ac:dyDescent="0.2">
      <c r="D14" s="2"/>
      <c r="F14" s="9" t="s">
        <v>4</v>
      </c>
      <c r="G14" s="10">
        <v>788.42</v>
      </c>
    </row>
    <row r="15" spans="1:7" ht="13.5" thickBot="1" x14ac:dyDescent="0.25">
      <c r="A15" s="17" t="s">
        <v>17</v>
      </c>
      <c r="B15" s="18"/>
      <c r="C15" s="18"/>
      <c r="D15" s="23" t="s">
        <v>44</v>
      </c>
      <c r="F15" s="9" t="s">
        <v>12</v>
      </c>
      <c r="G15" s="10">
        <v>432.32</v>
      </c>
    </row>
    <row r="16" spans="1:7" ht="13.5" thickTop="1" x14ac:dyDescent="0.2">
      <c r="A16" t="s">
        <v>34</v>
      </c>
      <c r="B16" s="22">
        <f>SUM(B9:B15)</f>
        <v>1298.1383333333333</v>
      </c>
      <c r="C16" s="22">
        <f>SUM(C9:C11)+C13+C15</f>
        <v>3566.2745125000001</v>
      </c>
      <c r="D16" s="22"/>
      <c r="F16" s="9" t="s">
        <v>13</v>
      </c>
      <c r="G16" s="10">
        <v>661.11</v>
      </c>
    </row>
    <row r="17" spans="1:7" ht="13.5" thickBot="1" x14ac:dyDescent="0.25">
      <c r="F17" s="48" t="s">
        <v>7</v>
      </c>
      <c r="G17" s="49"/>
    </row>
    <row r="18" spans="1:7" x14ac:dyDescent="0.2">
      <c r="F18" s="9" t="s">
        <v>39</v>
      </c>
      <c r="G18" s="10">
        <v>88.09</v>
      </c>
    </row>
    <row r="19" spans="1:7" x14ac:dyDescent="0.2">
      <c r="A19" s="19" t="s">
        <v>19</v>
      </c>
      <c r="B19" s="42" t="s">
        <v>18</v>
      </c>
      <c r="C19" s="42" t="s">
        <v>21</v>
      </c>
      <c r="D19" s="20"/>
      <c r="F19" s="9"/>
      <c r="G19" s="29"/>
    </row>
    <row r="20" spans="1:7" x14ac:dyDescent="0.2">
      <c r="A20" t="s">
        <v>37</v>
      </c>
      <c r="B20" s="2">
        <f>B9</f>
        <v>1177.08</v>
      </c>
      <c r="C20" s="2">
        <f>C9</f>
        <v>1177.08</v>
      </c>
      <c r="F20" s="9" t="s">
        <v>6</v>
      </c>
      <c r="G20" s="10">
        <f>(681.43+G15+G16)/6</f>
        <v>295.81</v>
      </c>
    </row>
    <row r="21" spans="1:7" x14ac:dyDescent="0.2">
      <c r="A21" t="s">
        <v>22</v>
      </c>
      <c r="C21" s="2">
        <v>844.65</v>
      </c>
      <c r="F21" s="11" t="s">
        <v>8</v>
      </c>
      <c r="G21" s="12">
        <f>SUM(G14:G17)+(G18/6)+G20</f>
        <v>2192.3416666666667</v>
      </c>
    </row>
    <row r="22" spans="1:7" x14ac:dyDescent="0.2">
      <c r="A22" t="s">
        <v>23</v>
      </c>
      <c r="C22" s="2">
        <f>(466.25)+(466.25*2.25%)</f>
        <v>476.74062500000002</v>
      </c>
    </row>
    <row r="23" spans="1:7" x14ac:dyDescent="0.2">
      <c r="A23" t="s">
        <v>16</v>
      </c>
      <c r="B23" s="2">
        <f>B13</f>
        <v>121.05833333333334</v>
      </c>
      <c r="C23" s="2">
        <f>(726.35+C21+C22)/6</f>
        <v>341.29010416666665</v>
      </c>
      <c r="D23" s="2"/>
    </row>
    <row r="24" spans="1:7" x14ac:dyDescent="0.2">
      <c r="D24" s="2"/>
    </row>
    <row r="25" spans="1:7" ht="13.5" thickBot="1" x14ac:dyDescent="0.25">
      <c r="A25" s="17" t="s">
        <v>17</v>
      </c>
      <c r="B25" s="18"/>
      <c r="C25" s="18"/>
      <c r="D25" s="23" t="s">
        <v>45</v>
      </c>
    </row>
    <row r="26" spans="1:7" ht="13.5" thickTop="1" x14ac:dyDescent="0.2">
      <c r="A26" t="s">
        <v>35</v>
      </c>
      <c r="B26" s="22">
        <f>SUM(B20:B25)</f>
        <v>1298.1383333333333</v>
      </c>
      <c r="C26" s="22">
        <f>SUM(C20:C22)+C23+C25</f>
        <v>2839.7607291666664</v>
      </c>
      <c r="D26" s="22"/>
    </row>
    <row r="27" spans="1:7" x14ac:dyDescent="0.2">
      <c r="F27" s="14" t="s">
        <v>31</v>
      </c>
      <c r="G27" s="47"/>
    </row>
    <row r="28" spans="1:7" x14ac:dyDescent="0.2">
      <c r="A28" s="19"/>
      <c r="B28" s="42"/>
      <c r="C28" s="42"/>
      <c r="D28" s="20"/>
      <c r="F28" s="9" t="s">
        <v>4</v>
      </c>
      <c r="G28" s="10">
        <v>656.18</v>
      </c>
    </row>
    <row r="29" spans="1:7" x14ac:dyDescent="0.2">
      <c r="A29" s="19" t="s">
        <v>25</v>
      </c>
      <c r="B29" s="42" t="s">
        <v>18</v>
      </c>
      <c r="C29" s="42" t="s">
        <v>21</v>
      </c>
      <c r="D29" s="20"/>
      <c r="F29" s="9" t="s">
        <v>14</v>
      </c>
      <c r="G29" s="10">
        <v>334.02</v>
      </c>
    </row>
    <row r="30" spans="1:7" x14ac:dyDescent="0.2">
      <c r="A30" t="s">
        <v>38</v>
      </c>
      <c r="B30" s="43">
        <v>1017.79</v>
      </c>
      <c r="F30" s="9" t="s">
        <v>33</v>
      </c>
      <c r="G30" s="10">
        <v>550.28</v>
      </c>
    </row>
    <row r="31" spans="1:7" ht="13.5" thickBot="1" x14ac:dyDescent="0.25">
      <c r="A31" t="s">
        <v>22</v>
      </c>
      <c r="F31" s="48" t="s">
        <v>7</v>
      </c>
      <c r="G31" s="49"/>
    </row>
    <row r="32" spans="1:7" x14ac:dyDescent="0.2">
      <c r="A32" t="s">
        <v>23</v>
      </c>
      <c r="F32" s="9" t="s">
        <v>39</v>
      </c>
      <c r="G32" s="10">
        <v>68.069999999999993</v>
      </c>
    </row>
    <row r="33" spans="1:7" x14ac:dyDescent="0.2">
      <c r="A33" t="s">
        <v>16</v>
      </c>
      <c r="B33" s="2">
        <f>742.29/6</f>
        <v>123.71499999999999</v>
      </c>
      <c r="D33" s="2"/>
      <c r="F33" s="9"/>
      <c r="G33" s="10"/>
    </row>
    <row r="34" spans="1:7" x14ac:dyDescent="0.2">
      <c r="D34" s="2"/>
      <c r="F34" s="9" t="s">
        <v>6</v>
      </c>
      <c r="G34" s="10">
        <f>(650.2+G29+G30)*2/12</f>
        <v>255.75</v>
      </c>
    </row>
    <row r="35" spans="1:7" ht="13.5" thickBot="1" x14ac:dyDescent="0.25">
      <c r="A35" s="17" t="s">
        <v>17</v>
      </c>
      <c r="B35" s="18"/>
      <c r="C35" s="18"/>
      <c r="D35" s="2" t="s">
        <v>45</v>
      </c>
      <c r="F35" s="11" t="s">
        <v>8</v>
      </c>
      <c r="G35" s="12">
        <f>SUM(G28:G31)+(G32/6)+G34</f>
        <v>1807.575</v>
      </c>
    </row>
    <row r="36" spans="1:7" ht="13.5" thickTop="1" x14ac:dyDescent="0.2">
      <c r="A36" t="s">
        <v>36</v>
      </c>
      <c r="B36" s="22">
        <f>SUM(B30:B35)</f>
        <v>1141.5049999999999</v>
      </c>
      <c r="C36" s="22">
        <f>PRODUCT(C26*0.8)</f>
        <v>2271.808583333333</v>
      </c>
      <c r="D36" s="23"/>
    </row>
    <row r="37" spans="1:7" x14ac:dyDescent="0.2">
      <c r="D37" s="22"/>
    </row>
  </sheetData>
  <mergeCells count="1">
    <mergeCell ref="F1:G1"/>
  </mergeCells>
  <phoneticPr fontId="0" type="noConversion"/>
  <pageMargins left="0.74803149606299213" right="0.31496062992125984" top="0.98425196850393704" bottom="0.98425196850393704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DOCTORES</vt:lpstr>
      <vt:lpstr>(A) LICENCIADOS-INGEN-ARQU</vt:lpstr>
      <vt:lpstr>(B) DIPLO MADOS</vt:lpstr>
      <vt:lpstr>(C) TECNICO ESPEC LAB FP2 </vt:lpstr>
      <vt:lpstr>(D) AUX ADM-LAB (FP1- GR ESCOL)</vt:lpstr>
      <vt:lpstr>(D) AUX. SERVICIOS</vt:lpstr>
      <vt:lpstr>PARAMETROS</vt:lpstr>
      <vt:lpstr>Hoja1</vt:lpstr>
      <vt:lpstr>RETRIBUCION</vt:lpstr>
    </vt:vector>
  </TitlesOfParts>
  <Company>oscar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Fuentes Garcia, Susana</cp:lastModifiedBy>
  <cp:lastPrinted>2015-01-16T11:58:13Z</cp:lastPrinted>
  <dcterms:created xsi:type="dcterms:W3CDTF">2003-11-11T19:24:53Z</dcterms:created>
  <dcterms:modified xsi:type="dcterms:W3CDTF">2021-05-24T07:21:32Z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1648575215</vt:i4>
  </property>
  <property fmtid="{D5CDD505-2E9C-101B-9397-08002B2CF9AE}" pid="3" name="_EmailSubject">
    <vt:lpwstr/>
  </property>
  <property fmtid="{D5CDD505-2E9C-101B-9397-08002B2CF9AE}" pid="4" name="_AuthorEmail">
    <vt:lpwstr>cristina.aguilar@umh.es</vt:lpwstr>
  </property>
  <property fmtid="{D5CDD505-2E9C-101B-9397-08002B2CF9AE}" pid="5" name="_AuthorEmailDisplayName">
    <vt:lpwstr>Aguilar Santos, Cristina</vt:lpwstr>
  </property>
  <property fmtid="{D5CDD505-2E9C-101B-9397-08002B2CF9AE}" pid="6" name="_PreviousAdHocReviewCycleID">
    <vt:i4>-1341627671</vt:i4>
  </property>
  <property fmtid="{D5CDD505-2E9C-101B-9397-08002B2CF9AE}" pid="7" name="_ReviewingToolsShownOnce">
    <vt:lpwstr/>
  </property>
</Properties>
</file>