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remades\Desktop\TABLAS SALARIALES\TABLAS 2019\"/>
    </mc:Choice>
  </mc:AlternateContent>
  <workbookProtection workbookAlgorithmName="SHA-512" workbookHashValue="7KAmrcE19/wUjnZtY+nfqUU2DII/dDu1lOT+thixFt61eGuHKNgevJ+5lz1iNf9W3uY1ssjWiXZoRYGkvQq2ug==" workbookSaltValue="iBhoZurVToSoxFIp2DUndQ==" workbookSpinCount="100000" lockStructure="1"/>
  <bookViews>
    <workbookView xWindow="0" yWindow="0" windowWidth="17280" windowHeight="6660" firstSheet="2" activeTab="5"/>
  </bookViews>
  <sheets>
    <sheet name="DOCTORES" sheetId="7" r:id="rId1"/>
    <sheet name="(A) LICENCIADOS-INGEN-ARQU" sheetId="1" r:id="rId2"/>
    <sheet name="(B) DIPLO MADOS" sheetId="5" r:id="rId3"/>
    <sheet name="(C) TECNICO ESPEC LAB FP2 " sheetId="4" r:id="rId4"/>
    <sheet name="(D) AUX ADM-LAB (FP1- GR ESCOL)" sheetId="2" r:id="rId5"/>
    <sheet name="(D) AUX. SERVICIOS" sheetId="8" r:id="rId6"/>
    <sheet name="PARAMETROS" sheetId="3" state="hidden" r:id="rId7"/>
  </sheets>
  <definedNames>
    <definedName name="RETRIBUCION">'(A) LICENCIADOS-INGEN-ARQU'!$D$2:$E$2</definedName>
  </definedNames>
  <calcPr calcId="162913"/>
</workbook>
</file>

<file path=xl/calcChain.xml><?xml version="1.0" encoding="utf-8"?>
<calcChain xmlns="http://schemas.openxmlformats.org/spreadsheetml/2006/main">
  <c r="H15" i="8" l="1"/>
  <c r="J15" i="8" s="1"/>
  <c r="G31" i="8"/>
  <c r="H31" i="8" s="1"/>
  <c r="J31" i="8" s="1"/>
  <c r="J33" i="8" s="1"/>
  <c r="D6" i="8"/>
  <c r="D7" i="8"/>
  <c r="D8" i="8"/>
  <c r="D10" i="8"/>
  <c r="D11" i="8"/>
  <c r="D12" i="8"/>
  <c r="D14" i="8"/>
  <c r="D15" i="8"/>
  <c r="D16" i="8"/>
  <c r="D18" i="8"/>
  <c r="D19" i="8"/>
  <c r="D20" i="8"/>
  <c r="D22" i="8"/>
  <c r="D23" i="8"/>
  <c r="D24" i="8"/>
  <c r="D26" i="8"/>
  <c r="D27" i="8"/>
  <c r="D28" i="8"/>
  <c r="D30" i="8"/>
  <c r="D31" i="8"/>
  <c r="D32" i="8"/>
  <c r="D34" i="8"/>
  <c r="D35" i="8"/>
  <c r="D36" i="8"/>
  <c r="D38" i="8"/>
  <c r="D39" i="8"/>
  <c r="D40" i="8"/>
  <c r="D42" i="8"/>
  <c r="D4" i="8"/>
  <c r="C5" i="8"/>
  <c r="D5" i="8" s="1"/>
  <c r="C6" i="8"/>
  <c r="C7" i="8"/>
  <c r="C8" i="8"/>
  <c r="C9" i="8"/>
  <c r="D9" i="8" s="1"/>
  <c r="C10" i="8"/>
  <c r="C11" i="8"/>
  <c r="C12" i="8"/>
  <c r="C13" i="8"/>
  <c r="D13" i="8" s="1"/>
  <c r="C14" i="8"/>
  <c r="C15" i="8"/>
  <c r="C16" i="8"/>
  <c r="C17" i="8"/>
  <c r="D17" i="8" s="1"/>
  <c r="C18" i="8"/>
  <c r="C19" i="8"/>
  <c r="C20" i="8"/>
  <c r="C21" i="8"/>
  <c r="D21" i="8" s="1"/>
  <c r="C22" i="8"/>
  <c r="C23" i="8"/>
  <c r="C24" i="8"/>
  <c r="C25" i="8"/>
  <c r="D25" i="8" s="1"/>
  <c r="C26" i="8"/>
  <c r="C27" i="8"/>
  <c r="C28" i="8"/>
  <c r="C29" i="8"/>
  <c r="D29" i="8" s="1"/>
  <c r="C30" i="8"/>
  <c r="C31" i="8"/>
  <c r="C32" i="8"/>
  <c r="C33" i="8"/>
  <c r="D33" i="8" s="1"/>
  <c r="C34" i="8"/>
  <c r="C35" i="8"/>
  <c r="C36" i="8"/>
  <c r="C37" i="8"/>
  <c r="D37" i="8" s="1"/>
  <c r="C38" i="8"/>
  <c r="C39" i="8"/>
  <c r="C40" i="8"/>
  <c r="C41" i="8"/>
  <c r="D41" i="8" s="1"/>
  <c r="C42" i="8"/>
  <c r="C4" i="8"/>
  <c r="I17" i="8"/>
  <c r="H13" i="8"/>
  <c r="J13" i="8" s="1"/>
  <c r="J17" i="8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G31" i="2"/>
  <c r="H31" i="2" s="1"/>
  <c r="J31" i="2" s="1"/>
  <c r="J33" i="2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" i="2"/>
  <c r="H15" i="2"/>
  <c r="H13" i="2"/>
  <c r="I17" i="2"/>
  <c r="J15" i="2"/>
  <c r="J13" i="2"/>
  <c r="J17" i="2" s="1"/>
  <c r="G31" i="4"/>
  <c r="H31" i="4"/>
  <c r="J31" i="4" s="1"/>
  <c r="J33" i="4" s="1"/>
  <c r="D5" i="4"/>
  <c r="D7" i="4"/>
  <c r="D8" i="4"/>
  <c r="D9" i="4"/>
  <c r="D11" i="4"/>
  <c r="D12" i="4"/>
  <c r="D13" i="4"/>
  <c r="D15" i="4"/>
  <c r="D16" i="4"/>
  <c r="D17" i="4"/>
  <c r="D19" i="4"/>
  <c r="D20" i="4"/>
  <c r="D21" i="4"/>
  <c r="D23" i="4"/>
  <c r="D24" i="4"/>
  <c r="D25" i="4"/>
  <c r="D27" i="4"/>
  <c r="D28" i="4"/>
  <c r="D29" i="4"/>
  <c r="D31" i="4"/>
  <c r="D32" i="4"/>
  <c r="D33" i="4"/>
  <c r="D35" i="4"/>
  <c r="D36" i="4"/>
  <c r="D37" i="4"/>
  <c r="D39" i="4"/>
  <c r="D40" i="4"/>
  <c r="D41" i="4"/>
  <c r="D4" i="4"/>
  <c r="C5" i="4"/>
  <c r="C6" i="4"/>
  <c r="D6" i="4" s="1"/>
  <c r="C7" i="4"/>
  <c r="C8" i="4"/>
  <c r="C9" i="4"/>
  <c r="C10" i="4"/>
  <c r="D10" i="4" s="1"/>
  <c r="C11" i="4"/>
  <c r="C12" i="4"/>
  <c r="C13" i="4"/>
  <c r="C14" i="4"/>
  <c r="D14" i="4" s="1"/>
  <c r="C15" i="4"/>
  <c r="C16" i="4"/>
  <c r="C17" i="4"/>
  <c r="C18" i="4"/>
  <c r="D18" i="4" s="1"/>
  <c r="C19" i="4"/>
  <c r="C20" i="4"/>
  <c r="C21" i="4"/>
  <c r="C22" i="4"/>
  <c r="D22" i="4" s="1"/>
  <c r="C23" i="4"/>
  <c r="C24" i="4"/>
  <c r="C25" i="4"/>
  <c r="C26" i="4"/>
  <c r="D26" i="4" s="1"/>
  <c r="C27" i="4"/>
  <c r="C28" i="4"/>
  <c r="C29" i="4"/>
  <c r="C30" i="4"/>
  <c r="D30" i="4" s="1"/>
  <c r="C31" i="4"/>
  <c r="C32" i="4"/>
  <c r="C33" i="4"/>
  <c r="C34" i="4"/>
  <c r="D34" i="4" s="1"/>
  <c r="C35" i="4"/>
  <c r="C36" i="4"/>
  <c r="C37" i="4"/>
  <c r="C38" i="4"/>
  <c r="D38" i="4" s="1"/>
  <c r="C39" i="4"/>
  <c r="C40" i="4"/>
  <c r="C41" i="4"/>
  <c r="C42" i="4"/>
  <c r="D42" i="4" s="1"/>
  <c r="C4" i="4"/>
  <c r="I17" i="4"/>
  <c r="H15" i="4"/>
  <c r="J15" i="4" s="1"/>
  <c r="H13" i="4"/>
  <c r="J13" i="4" s="1"/>
  <c r="J17" i="4" s="1"/>
  <c r="J13" i="5"/>
  <c r="I32" i="1" l="1"/>
  <c r="C5" i="1"/>
  <c r="I32" i="7" l="1"/>
  <c r="I31" i="5" l="1"/>
  <c r="J31" i="5" s="1"/>
  <c r="L31" i="5" s="1"/>
  <c r="L33" i="5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" i="5"/>
  <c r="D7" i="1"/>
  <c r="D8" i="1"/>
  <c r="D9" i="1"/>
  <c r="D11" i="1"/>
  <c r="D12" i="1"/>
  <c r="D13" i="1"/>
  <c r="D15" i="1"/>
  <c r="D16" i="1"/>
  <c r="D17" i="1"/>
  <c r="D19" i="1"/>
  <c r="D20" i="1"/>
  <c r="D21" i="1"/>
  <c r="D23" i="1"/>
  <c r="D24" i="1"/>
  <c r="D25" i="1"/>
  <c r="D27" i="1"/>
  <c r="D28" i="1"/>
  <c r="D29" i="1"/>
  <c r="D31" i="1"/>
  <c r="D32" i="1"/>
  <c r="D33" i="1"/>
  <c r="D35" i="1"/>
  <c r="D36" i="1"/>
  <c r="D37" i="1"/>
  <c r="D39" i="1"/>
  <c r="D40" i="1"/>
  <c r="D41" i="1"/>
  <c r="D43" i="1"/>
  <c r="D5" i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K17" i="5"/>
  <c r="J15" i="5"/>
  <c r="L15" i="5" s="1"/>
  <c r="L13" i="5"/>
  <c r="J32" i="1"/>
  <c r="L32" i="1" s="1"/>
  <c r="L34" i="1" s="1"/>
  <c r="C6" i="1"/>
  <c r="D6" i="1" s="1"/>
  <c r="C7" i="1"/>
  <c r="C8" i="1"/>
  <c r="C9" i="1"/>
  <c r="C10" i="1"/>
  <c r="D10" i="1" s="1"/>
  <c r="C11" i="1"/>
  <c r="C12" i="1"/>
  <c r="C13" i="1"/>
  <c r="C14" i="1"/>
  <c r="D14" i="1" s="1"/>
  <c r="C15" i="1"/>
  <c r="C16" i="1"/>
  <c r="C17" i="1"/>
  <c r="C18" i="1"/>
  <c r="D18" i="1" s="1"/>
  <c r="C19" i="1"/>
  <c r="C20" i="1"/>
  <c r="C21" i="1"/>
  <c r="C22" i="1"/>
  <c r="D22" i="1" s="1"/>
  <c r="C23" i="1"/>
  <c r="C24" i="1"/>
  <c r="C25" i="1"/>
  <c r="C26" i="1"/>
  <c r="D26" i="1" s="1"/>
  <c r="C27" i="1"/>
  <c r="C28" i="1"/>
  <c r="C29" i="1"/>
  <c r="C30" i="1"/>
  <c r="D30" i="1" s="1"/>
  <c r="C31" i="1"/>
  <c r="C32" i="1"/>
  <c r="C33" i="1"/>
  <c r="C34" i="1"/>
  <c r="D34" i="1" s="1"/>
  <c r="C35" i="1"/>
  <c r="C36" i="1"/>
  <c r="C37" i="1"/>
  <c r="C38" i="1"/>
  <c r="D38" i="1" s="1"/>
  <c r="C39" i="1"/>
  <c r="C40" i="1"/>
  <c r="C41" i="1"/>
  <c r="C42" i="1"/>
  <c r="D42" i="1" s="1"/>
  <c r="C43" i="1"/>
  <c r="K18" i="1"/>
  <c r="J16" i="1"/>
  <c r="L16" i="1" s="1"/>
  <c r="J14" i="1"/>
  <c r="L14" i="1" s="1"/>
  <c r="J32" i="7"/>
  <c r="L32" i="7" s="1"/>
  <c r="L34" i="7" s="1"/>
  <c r="J16" i="7"/>
  <c r="J14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5" i="7"/>
  <c r="K18" i="7"/>
  <c r="L16" i="7"/>
  <c r="L14" i="7"/>
  <c r="L17" i="5" l="1"/>
  <c r="L18" i="1"/>
  <c r="L18" i="7"/>
  <c r="G33" i="3" l="1"/>
  <c r="G19" i="3"/>
  <c r="G8" i="3"/>
  <c r="B32" i="3"/>
  <c r="C21" i="3"/>
  <c r="C22" i="3"/>
  <c r="C12" i="3"/>
  <c r="C11" i="3"/>
  <c r="B12" i="3" l="1"/>
  <c r="B15" i="3" l="1"/>
  <c r="B14" i="3"/>
  <c r="B34" i="3" l="1"/>
  <c r="B35" i="3" s="1"/>
  <c r="B4" i="3" s="1"/>
  <c r="C19" i="3"/>
  <c r="B22" i="3"/>
  <c r="C14" i="3" l="1"/>
  <c r="C15" i="3" s="1"/>
  <c r="B4" i="5"/>
  <c r="B7" i="5" s="1"/>
  <c r="D7" i="5" s="1"/>
  <c r="G5" i="3"/>
  <c r="G9" i="3" s="1"/>
  <c r="G16" i="3"/>
  <c r="G20" i="3" s="1"/>
  <c r="B5" i="3" s="1"/>
  <c r="C24" i="3"/>
  <c r="C25" i="3" s="1"/>
  <c r="C35" i="3" s="1"/>
  <c r="G30" i="3"/>
  <c r="G34" i="3" s="1"/>
  <c r="B7" i="3" s="1"/>
  <c r="B19" i="3"/>
  <c r="B6" i="3" l="1"/>
  <c r="B3" i="2" s="1"/>
  <c r="B40" i="5"/>
  <c r="D40" i="5" s="1"/>
  <c r="C2" i="3"/>
  <c r="F4" i="7" s="1"/>
  <c r="G4" i="7" s="1"/>
  <c r="B23" i="5"/>
  <c r="D23" i="5" s="1"/>
  <c r="B37" i="5"/>
  <c r="D37" i="5" s="1"/>
  <c r="B14" i="5"/>
  <c r="D14" i="5" s="1"/>
  <c r="B31" i="5"/>
  <c r="D31" i="5" s="1"/>
  <c r="B28" i="5"/>
  <c r="D28" i="5" s="1"/>
  <c r="B9" i="5"/>
  <c r="D9" i="5" s="1"/>
  <c r="B27" i="5"/>
  <c r="D27" i="5" s="1"/>
  <c r="B13" i="5"/>
  <c r="D13" i="5" s="1"/>
  <c r="B15" i="5"/>
  <c r="D15" i="5" s="1"/>
  <c r="B41" i="5"/>
  <c r="D41" i="5" s="1"/>
  <c r="B18" i="5"/>
  <c r="D18" i="5" s="1"/>
  <c r="B32" i="5"/>
  <c r="D32" i="5" s="1"/>
  <c r="B30" i="5"/>
  <c r="D30" i="5" s="1"/>
  <c r="B42" i="5"/>
  <c r="D42" i="5" s="1"/>
  <c r="B25" i="5"/>
  <c r="D25" i="5" s="1"/>
  <c r="B17" i="5"/>
  <c r="D17" i="5" s="1"/>
  <c r="B11" i="5"/>
  <c r="D11" i="5" s="1"/>
  <c r="B35" i="5"/>
  <c r="D35" i="5" s="1"/>
  <c r="B29" i="5"/>
  <c r="D29" i="5" s="1"/>
  <c r="B8" i="5"/>
  <c r="D8" i="5" s="1"/>
  <c r="B20" i="5"/>
  <c r="D20" i="5" s="1"/>
  <c r="B6" i="5"/>
  <c r="D6" i="5" s="1"/>
  <c r="B26" i="5"/>
  <c r="D26" i="5" s="1"/>
  <c r="B19" i="5"/>
  <c r="D19" i="5" s="1"/>
  <c r="B21" i="5"/>
  <c r="D21" i="5" s="1"/>
  <c r="B33" i="5"/>
  <c r="D33" i="5" s="1"/>
  <c r="B34" i="5"/>
  <c r="D34" i="5" s="1"/>
  <c r="B5" i="5"/>
  <c r="D5" i="5" s="1"/>
  <c r="B10" i="5"/>
  <c r="D10" i="5" s="1"/>
  <c r="B16" i="5"/>
  <c r="D16" i="5" s="1"/>
  <c r="B38" i="5"/>
  <c r="D38" i="5" s="1"/>
  <c r="B39" i="5"/>
  <c r="D39" i="5" s="1"/>
  <c r="B36" i="5"/>
  <c r="D36" i="5" s="1"/>
  <c r="B43" i="5"/>
  <c r="D43" i="5" s="1"/>
  <c r="B22" i="5"/>
  <c r="D22" i="5" s="1"/>
  <c r="B12" i="5"/>
  <c r="D12" i="5" s="1"/>
  <c r="B24" i="5"/>
  <c r="D24" i="5" s="1"/>
  <c r="C4" i="3"/>
  <c r="F4" i="5" s="1"/>
  <c r="C3" i="3"/>
  <c r="F4" i="1" s="1"/>
  <c r="G4" i="1" s="1"/>
  <c r="B30" i="4"/>
  <c r="B6" i="4"/>
  <c r="B24" i="4"/>
  <c r="B26" i="4"/>
  <c r="B31" i="4"/>
  <c r="B32" i="4"/>
  <c r="B11" i="4"/>
  <c r="B22" i="4"/>
  <c r="B8" i="4"/>
  <c r="B13" i="4"/>
  <c r="B38" i="4"/>
  <c r="B10" i="4"/>
  <c r="B28" i="4"/>
  <c r="B33" i="4"/>
  <c r="B42" i="4"/>
  <c r="B36" i="4"/>
  <c r="B16" i="4"/>
  <c r="B27" i="4"/>
  <c r="B12" i="4"/>
  <c r="B35" i="4"/>
  <c r="B19" i="4"/>
  <c r="B41" i="4"/>
  <c r="B5" i="4"/>
  <c r="B37" i="4"/>
  <c r="B17" i="4"/>
  <c r="B7" i="4"/>
  <c r="B20" i="4"/>
  <c r="B25" i="4"/>
  <c r="B18" i="4"/>
  <c r="B39" i="4"/>
  <c r="B40" i="4"/>
  <c r="B4" i="4"/>
  <c r="B3" i="4"/>
  <c r="B23" i="4"/>
  <c r="B21" i="4"/>
  <c r="B15" i="4"/>
  <c r="B14" i="4"/>
  <c r="B29" i="4"/>
  <c r="B9" i="4"/>
  <c r="B34" i="4"/>
  <c r="B24" i="3"/>
  <c r="B25" i="3" s="1"/>
  <c r="B3" i="8"/>
  <c r="B19" i="2" l="1"/>
  <c r="B25" i="2"/>
  <c r="B24" i="2"/>
  <c r="B10" i="2"/>
  <c r="B35" i="2"/>
  <c r="B23" i="2"/>
  <c r="B28" i="2"/>
  <c r="B31" i="2"/>
  <c r="B33" i="2"/>
  <c r="B38" i="2"/>
  <c r="B22" i="2"/>
  <c r="B29" i="2"/>
  <c r="B41" i="2"/>
  <c r="B26" i="2"/>
  <c r="B4" i="2"/>
  <c r="B15" i="2"/>
  <c r="B34" i="2"/>
  <c r="B27" i="2"/>
  <c r="B32" i="2"/>
  <c r="B18" i="2"/>
  <c r="B21" i="2"/>
  <c r="B9" i="2"/>
  <c r="B6" i="2"/>
  <c r="B20" i="2"/>
  <c r="B7" i="2"/>
  <c r="B37" i="2"/>
  <c r="B39" i="2"/>
  <c r="B16" i="2"/>
  <c r="B40" i="2"/>
  <c r="B13" i="2"/>
  <c r="B8" i="2"/>
  <c r="B36" i="2"/>
  <c r="B5" i="2"/>
  <c r="B14" i="2"/>
  <c r="B42" i="2"/>
  <c r="B12" i="2"/>
  <c r="B17" i="2"/>
  <c r="B11" i="2"/>
  <c r="B30" i="2"/>
  <c r="F13" i="7"/>
  <c r="G13" i="7" s="1"/>
  <c r="F10" i="7"/>
  <c r="G10" i="7" s="1"/>
  <c r="F21" i="7"/>
  <c r="G21" i="7" s="1"/>
  <c r="F14" i="7"/>
  <c r="G14" i="7" s="1"/>
  <c r="F37" i="7"/>
  <c r="G37" i="7" s="1"/>
  <c r="F32" i="7"/>
  <c r="G32" i="7" s="1"/>
  <c r="F40" i="7"/>
  <c r="G40" i="7" s="1"/>
  <c r="F22" i="7"/>
  <c r="G22" i="7" s="1"/>
  <c r="F26" i="7"/>
  <c r="G26" i="7" s="1"/>
  <c r="F15" i="7"/>
  <c r="G15" i="7" s="1"/>
  <c r="F18" i="7"/>
  <c r="G18" i="7" s="1"/>
  <c r="F23" i="7"/>
  <c r="G23" i="7" s="1"/>
  <c r="F16" i="7"/>
  <c r="G16" i="7" s="1"/>
  <c r="F31" i="7"/>
  <c r="G31" i="7" s="1"/>
  <c r="F24" i="7"/>
  <c r="G24" i="7" s="1"/>
  <c r="F19" i="7"/>
  <c r="G19" i="7" s="1"/>
  <c r="F17" i="7"/>
  <c r="G17" i="7" s="1"/>
  <c r="F25" i="7"/>
  <c r="G25" i="7" s="1"/>
  <c r="F11" i="7"/>
  <c r="G11" i="7" s="1"/>
  <c r="F8" i="7"/>
  <c r="G8" i="7" s="1"/>
  <c r="F28" i="7"/>
  <c r="G28" i="7" s="1"/>
  <c r="F33" i="7"/>
  <c r="G33" i="7" s="1"/>
  <c r="F36" i="7"/>
  <c r="G36" i="7" s="1"/>
  <c r="F41" i="7"/>
  <c r="G41" i="7" s="1"/>
  <c r="F34" i="7"/>
  <c r="G34" i="7" s="1"/>
  <c r="F39" i="7"/>
  <c r="G39" i="7" s="1"/>
  <c r="F7" i="7"/>
  <c r="G7" i="7" s="1"/>
  <c r="F6" i="7"/>
  <c r="G6" i="7" s="1"/>
  <c r="F30" i="7"/>
  <c r="G30" i="7" s="1"/>
  <c r="F42" i="7"/>
  <c r="G42" i="7" s="1"/>
  <c r="F38" i="7"/>
  <c r="G38" i="7" s="1"/>
  <c r="F43" i="7"/>
  <c r="G43" i="7" s="1"/>
  <c r="F9" i="7"/>
  <c r="G9" i="7" s="1"/>
  <c r="F27" i="7"/>
  <c r="G27" i="7" s="1"/>
  <c r="F5" i="7"/>
  <c r="G5" i="7" s="1"/>
  <c r="F20" i="7"/>
  <c r="G20" i="7" s="1"/>
  <c r="F29" i="7"/>
  <c r="G29" i="7" s="1"/>
  <c r="F35" i="7"/>
  <c r="G35" i="7" s="1"/>
  <c r="F12" i="7"/>
  <c r="G12" i="7" s="1"/>
  <c r="B3" i="3"/>
  <c r="B4" i="1" s="1"/>
  <c r="B2" i="3"/>
  <c r="B4" i="7" s="1"/>
  <c r="F13" i="5"/>
  <c r="F33" i="5"/>
  <c r="F12" i="5"/>
  <c r="F32" i="5"/>
  <c r="F11" i="5"/>
  <c r="F31" i="5"/>
  <c r="F10" i="5"/>
  <c r="F30" i="5"/>
  <c r="F9" i="5"/>
  <c r="F29" i="5"/>
  <c r="F8" i="5"/>
  <c r="F28" i="5"/>
  <c r="F7" i="5"/>
  <c r="F27" i="5"/>
  <c r="F6" i="5"/>
  <c r="F26" i="5"/>
  <c r="F25" i="5"/>
  <c r="F24" i="5"/>
  <c r="F15" i="5"/>
  <c r="F14" i="5"/>
  <c r="F5" i="5"/>
  <c r="F43" i="5"/>
  <c r="F42" i="5"/>
  <c r="F41" i="5"/>
  <c r="F40" i="5"/>
  <c r="F39" i="5"/>
  <c r="F38" i="5"/>
  <c r="F37" i="5"/>
  <c r="F36" i="5"/>
  <c r="F34" i="5"/>
  <c r="F23" i="5"/>
  <c r="G23" i="5" s="1"/>
  <c r="F22" i="5"/>
  <c r="F21" i="5"/>
  <c r="F20" i="5"/>
  <c r="F19" i="5"/>
  <c r="F18" i="5"/>
  <c r="F17" i="5"/>
  <c r="F16" i="5"/>
  <c r="F35" i="5"/>
  <c r="F21" i="1"/>
  <c r="G21" i="1" s="1"/>
  <c r="F36" i="1"/>
  <c r="G36" i="1" s="1"/>
  <c r="F19" i="1"/>
  <c r="G19" i="1" s="1"/>
  <c r="F10" i="1"/>
  <c r="G10" i="1" s="1"/>
  <c r="F22" i="1"/>
  <c r="G22" i="1" s="1"/>
  <c r="F33" i="1"/>
  <c r="G33" i="1" s="1"/>
  <c r="F40" i="1"/>
  <c r="G40" i="1" s="1"/>
  <c r="F15" i="1"/>
  <c r="G15" i="1" s="1"/>
  <c r="F8" i="1"/>
  <c r="G8" i="1" s="1"/>
  <c r="F26" i="1"/>
  <c r="G26" i="1" s="1"/>
  <c r="F13" i="1"/>
  <c r="G13" i="1" s="1"/>
  <c r="F12" i="1"/>
  <c r="G12" i="1" s="1"/>
  <c r="F42" i="1"/>
  <c r="G42" i="1" s="1"/>
  <c r="F30" i="1"/>
  <c r="G30" i="1" s="1"/>
  <c r="F25" i="1"/>
  <c r="G25" i="1" s="1"/>
  <c r="F7" i="1"/>
  <c r="G7" i="1" s="1"/>
  <c r="F16" i="1"/>
  <c r="G16" i="1" s="1"/>
  <c r="F39" i="1"/>
  <c r="G39" i="1" s="1"/>
  <c r="F34" i="1"/>
  <c r="G34" i="1" s="1"/>
  <c r="F29" i="1"/>
  <c r="G29" i="1" s="1"/>
  <c r="F11" i="1"/>
  <c r="G11" i="1" s="1"/>
  <c r="F35" i="1"/>
  <c r="G35" i="1" s="1"/>
  <c r="F17" i="1"/>
  <c r="G17" i="1" s="1"/>
  <c r="F24" i="1"/>
  <c r="G24" i="1" s="1"/>
  <c r="F37" i="1"/>
  <c r="G37" i="1" s="1"/>
  <c r="F27" i="1"/>
  <c r="G27" i="1" s="1"/>
  <c r="F14" i="1"/>
  <c r="G14" i="1" s="1"/>
  <c r="F32" i="1"/>
  <c r="G32" i="1" s="1"/>
  <c r="F6" i="1"/>
  <c r="G6" i="1" s="1"/>
  <c r="F20" i="1"/>
  <c r="G20" i="1" s="1"/>
  <c r="F38" i="1"/>
  <c r="G38" i="1" s="1"/>
  <c r="F9" i="1"/>
  <c r="G9" i="1" s="1"/>
  <c r="F31" i="1"/>
  <c r="G31" i="1" s="1"/>
  <c r="F43" i="1"/>
  <c r="G43" i="1" s="1"/>
  <c r="F28" i="1"/>
  <c r="G28" i="1" s="1"/>
  <c r="F5" i="1"/>
  <c r="G5" i="1" s="1"/>
  <c r="F41" i="1"/>
  <c r="G41" i="1" s="1"/>
  <c r="F23" i="1"/>
  <c r="G23" i="1" s="1"/>
  <c r="F18" i="1"/>
  <c r="G18" i="1" s="1"/>
  <c r="B23" i="8"/>
  <c r="B22" i="8"/>
  <c r="B13" i="8"/>
  <c r="B12" i="8"/>
  <c r="B42" i="8"/>
  <c r="B6" i="8"/>
  <c r="B15" i="8"/>
  <c r="B18" i="8"/>
  <c r="B27" i="8"/>
  <c r="B9" i="8"/>
  <c r="B37" i="8"/>
  <c r="B39" i="8"/>
  <c r="B31" i="8"/>
  <c r="B41" i="8"/>
  <c r="B40" i="8"/>
  <c r="B10" i="8"/>
  <c r="B24" i="8"/>
  <c r="B33" i="8"/>
  <c r="B36" i="8"/>
  <c r="B19" i="8"/>
  <c r="B25" i="8"/>
  <c r="B17" i="8"/>
  <c r="B7" i="8"/>
  <c r="B16" i="8"/>
  <c r="B14" i="8"/>
  <c r="B20" i="8"/>
  <c r="B26" i="8"/>
  <c r="B8" i="8"/>
  <c r="B28" i="8"/>
  <c r="B38" i="8"/>
  <c r="B35" i="8"/>
  <c r="B34" i="8"/>
  <c r="B29" i="8"/>
  <c r="B21" i="8"/>
  <c r="B11" i="8"/>
  <c r="B5" i="8"/>
  <c r="B4" i="8"/>
  <c r="B32" i="8"/>
  <c r="B30" i="8"/>
  <c r="B8" i="7" l="1"/>
  <c r="D8" i="7" s="1"/>
  <c r="B10" i="7"/>
  <c r="D10" i="7" s="1"/>
  <c r="B43" i="7"/>
  <c r="D43" i="7" s="1"/>
  <c r="B31" i="7"/>
  <c r="D31" i="7" s="1"/>
  <c r="B37" i="7"/>
  <c r="D37" i="7" s="1"/>
  <c r="B6" i="7"/>
  <c r="D6" i="7" s="1"/>
  <c r="B36" i="7"/>
  <c r="D36" i="7" s="1"/>
  <c r="B14" i="7"/>
  <c r="D14" i="7" s="1"/>
  <c r="B5" i="7"/>
  <c r="D5" i="7" s="1"/>
  <c r="B20" i="7"/>
  <c r="D20" i="7" s="1"/>
  <c r="B7" i="7"/>
  <c r="D7" i="7" s="1"/>
  <c r="B27" i="7"/>
  <c r="D27" i="7" s="1"/>
  <c r="B15" i="7"/>
  <c r="D15" i="7" s="1"/>
  <c r="B11" i="7"/>
  <c r="D11" i="7" s="1"/>
  <c r="B34" i="7"/>
  <c r="D34" i="7" s="1"/>
  <c r="B32" i="7"/>
  <c r="D32" i="7" s="1"/>
  <c r="B33" i="7"/>
  <c r="D33" i="7" s="1"/>
  <c r="B39" i="7"/>
  <c r="D39" i="7" s="1"/>
  <c r="B24" i="7"/>
  <c r="D24" i="7" s="1"/>
  <c r="B22" i="7"/>
  <c r="D22" i="7" s="1"/>
  <c r="B16" i="7"/>
  <c r="D16" i="7" s="1"/>
  <c r="B19" i="7"/>
  <c r="D19" i="7" s="1"/>
  <c r="B35" i="7"/>
  <c r="D35" i="7" s="1"/>
  <c r="B9" i="7"/>
  <c r="D9" i="7" s="1"/>
  <c r="B25" i="7"/>
  <c r="D25" i="7" s="1"/>
  <c r="B26" i="7"/>
  <c r="D26" i="7" s="1"/>
  <c r="B17" i="7"/>
  <c r="D17" i="7" s="1"/>
  <c r="B40" i="7"/>
  <c r="D40" i="7" s="1"/>
  <c r="B42" i="7"/>
  <c r="D42" i="7" s="1"/>
  <c r="B18" i="7"/>
  <c r="D18" i="7" s="1"/>
  <c r="B30" i="7"/>
  <c r="D30" i="7" s="1"/>
  <c r="B21" i="7"/>
  <c r="D21" i="7" s="1"/>
  <c r="B41" i="7"/>
  <c r="D41" i="7" s="1"/>
  <c r="B29" i="7"/>
  <c r="D29" i="7" s="1"/>
  <c r="B23" i="7"/>
  <c r="D23" i="7" s="1"/>
  <c r="B28" i="7"/>
  <c r="D28" i="7" s="1"/>
  <c r="B12" i="7"/>
  <c r="D12" i="7" s="1"/>
  <c r="B38" i="7"/>
  <c r="D38" i="7" s="1"/>
  <c r="B13" i="7"/>
  <c r="D13" i="7" s="1"/>
  <c r="B27" i="1"/>
  <c r="B25" i="1"/>
  <c r="B23" i="1"/>
  <c r="B21" i="1"/>
  <c r="B19" i="1"/>
  <c r="B17" i="1"/>
  <c r="B15" i="1"/>
  <c r="B13" i="1"/>
  <c r="B11" i="1"/>
  <c r="B9" i="1"/>
  <c r="B6" i="1"/>
  <c r="B43" i="1"/>
  <c r="B41" i="1"/>
  <c r="B39" i="1"/>
  <c r="B37" i="1"/>
  <c r="B35" i="1"/>
  <c r="B33" i="1"/>
  <c r="B31" i="1"/>
  <c r="B26" i="1"/>
  <c r="B24" i="1"/>
  <c r="B22" i="1"/>
  <c r="B20" i="1"/>
  <c r="B18" i="1"/>
  <c r="B16" i="1"/>
  <c r="B14" i="1"/>
  <c r="B12" i="1"/>
  <c r="B10" i="1"/>
  <c r="B8" i="1"/>
  <c r="B7" i="1"/>
  <c r="B5" i="1"/>
  <c r="B42" i="1"/>
  <c r="B40" i="1"/>
  <c r="B38" i="1"/>
  <c r="B36" i="1"/>
  <c r="B34" i="1"/>
  <c r="B32" i="1"/>
  <c r="B30" i="1"/>
  <c r="B28" i="1"/>
  <c r="B29" i="1"/>
</calcChain>
</file>

<file path=xl/sharedStrings.xml><?xml version="1.0" encoding="utf-8"?>
<sst xmlns="http://schemas.openxmlformats.org/spreadsheetml/2006/main" count="267" uniqueCount="76">
  <si>
    <t>HORAS DEDICACION SEMANALES</t>
  </si>
  <si>
    <t>LICENCIADO</t>
  </si>
  <si>
    <t>SALARIOS BRUTOS</t>
  </si>
  <si>
    <t>AUXILIAR ADMINISTRATIVO</t>
  </si>
  <si>
    <t>SUELDO</t>
  </si>
  <si>
    <t>AUX. ADMINISTRATIVO</t>
  </si>
  <si>
    <t>P.P. EXTRAS</t>
  </si>
  <si>
    <t>INDEMNIZACION</t>
  </si>
  <si>
    <t>TOTAL,,,,,,,,,,,,,,</t>
  </si>
  <si>
    <t>DIPLOMADOS</t>
  </si>
  <si>
    <t>ESP TEC LABORATORIO</t>
  </si>
  <si>
    <t>ESP. TEC. LABORATORIO</t>
  </si>
  <si>
    <t>C. DESTINO (18)</t>
  </si>
  <si>
    <t>C. ESPECIFICO (28)</t>
  </si>
  <si>
    <t>C. DESTINO (14)</t>
  </si>
  <si>
    <t>C. ESPECIFICO (24)</t>
  </si>
  <si>
    <t>PP EXTRAS</t>
  </si>
  <si>
    <t>INDENIZACION</t>
  </si>
  <si>
    <t>€/MES (MÍNIMOS)</t>
  </si>
  <si>
    <t xml:space="preserve">LICENCIADO </t>
  </si>
  <si>
    <t>€/MES (MAXIMOS)</t>
  </si>
  <si>
    <t>€/MES (MÁXIMOS)</t>
  </si>
  <si>
    <t>C. DESTINO (27)</t>
  </si>
  <si>
    <t>C. ESPECIFICO</t>
  </si>
  <si>
    <t>DOCTOR</t>
  </si>
  <si>
    <t>DIPLOMADO</t>
  </si>
  <si>
    <t>€/MES (MINIMOS)</t>
  </si>
  <si>
    <t xml:space="preserve">DOCTOR </t>
  </si>
  <si>
    <t>C. DESTINO (29)</t>
  </si>
  <si>
    <t>MINIMOS</t>
  </si>
  <si>
    <t>MAXIMOS</t>
  </si>
  <si>
    <t>AUXILIAR DE SERVICIOS</t>
  </si>
  <si>
    <t>AUX. DE SERVICIOS</t>
  </si>
  <si>
    <t>C. ESPECIFICO (20)</t>
  </si>
  <si>
    <t>TOTAL (DOCTOR TC)</t>
  </si>
  <si>
    <t>TOTAL (PROF TITULAR TC)</t>
  </si>
  <si>
    <t>TOTAL (80% P. TITULAR TC)</t>
  </si>
  <si>
    <t>SUELDO (A)</t>
  </si>
  <si>
    <t>SUELDO (B)</t>
  </si>
  <si>
    <t>componente compensatorio</t>
  </si>
  <si>
    <t>BASE MINIMA/HORA Tº PARCIAL GRUPO 1</t>
  </si>
  <si>
    <t>BASE MINIMA G1</t>
  </si>
  <si>
    <t>BASE MINIMA/HORA Tº PARCIAL GRUPO 2</t>
  </si>
  <si>
    <t>BASE MINIMA/HORA Tº PARCIAL GRUPO 4-11</t>
  </si>
  <si>
    <t>12DIAS</t>
  </si>
  <si>
    <t>12 DIAS</t>
  </si>
  <si>
    <t>BASE MINIMA/HORA Tº PARCIAL GRUPO 5</t>
  </si>
  <si>
    <t>CONTINGENCIAS COMUNES</t>
  </si>
  <si>
    <t>CONTINGENCIAS PROFESIONALES</t>
  </si>
  <si>
    <t>Grupo de Cotización</t>
  </si>
  <si>
    <t>Bases mínimas euros/mes</t>
  </si>
  <si>
    <t>Bases máximas euros/mes</t>
  </si>
  <si>
    <t>TOPE MÍNIMO</t>
  </si>
  <si>
    <t>TOPE MÁXIMO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</si>
  <si>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</t>
    </r>
    <r>
      <rPr>
        <sz val="9"/>
        <color rgb="FF0033CC"/>
        <rFont val="Verdana"/>
        <family val="2"/>
      </rPr>
      <t xml:space="preserve">para </t>
    </r>
    <r>
      <rPr>
        <b/>
        <sz val="9"/>
        <color rgb="FF0033CC"/>
        <rFont val="Verdana"/>
        <family val="2"/>
      </rPr>
      <t>40h/semana ………………………………</t>
    </r>
  </si>
  <si>
    <t>CALCULADORA COSTE SEG.SOCIAL TIEMPO COMPLETO</t>
  </si>
  <si>
    <t>Base Cotización</t>
  </si>
  <si>
    <t>Tipos cotización %</t>
  </si>
  <si>
    <t>Cuota Patronal</t>
  </si>
  <si>
    <t>Contingencias Comunes</t>
  </si>
  <si>
    <t>Contingencias Profesionales</t>
  </si>
  <si>
    <t>TOTAL COSTE SEGURIDAD SOCIAL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</si>
  <si>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comprendidas </t>
    </r>
    <r>
      <rPr>
        <b/>
        <sz val="9"/>
        <rFont val="Verdana"/>
        <family val="2"/>
      </rPr>
      <t>en el rango del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</si>
  <si>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DEDICACION de HORAS semanales…………………………….……………………………….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</si>
  <si>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PROPUESTA ……….……………….……………………………….</t>
    </r>
  </si>
  <si>
    <t>CALCULADORA COSTE SEG.SOCIAL TIEMPO PARCIAL</t>
  </si>
  <si>
    <t>Base mín.Cotiz.</t>
  </si>
  <si>
    <t>Tipo cotización %</t>
  </si>
  <si>
    <t>TOTAL COSTE SEGURIDAD SOCIAL……..</t>
  </si>
  <si>
    <r>
      <rPr>
        <b/>
        <sz val="10"/>
        <rFont val="Verdana"/>
        <family val="2"/>
      </rPr>
      <t>(*) NOTA:</t>
    </r>
    <r>
      <rPr>
        <sz val="10"/>
        <rFont val="Verdana"/>
        <family val="2"/>
      </rPr>
      <t xml:space="preserve"> Para calcular el coste total del contrato/renovación para el periodo, utilice la siguiente plantilla………………………………………………………</t>
    </r>
  </si>
  <si>
    <t>CALCULO RC</t>
  </si>
  <si>
    <t>CUOTA SEG. SOCIAL 32,60%</t>
  </si>
  <si>
    <t>RETRIBUCION BRUTA MENSUAL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</si>
  <si>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distintas a las establecidas en tablas, según bases de la convocatoria, usar la siguiente calculadora para determinar el coste de Seguridad Social </t>
    </r>
  </si>
  <si>
    <t>BASE MINIMA G7</t>
  </si>
  <si>
    <t>BASE MINIMA G5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</si>
</sst>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8" x14ac:knownFonts="1">
    <font>
      <sz val="10"/>
      <name val="Arial"/>
    </font>
    <font>
      <sz val="10"/>
      <name val="Arial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8"/>
      <name val="Cambria"/>
      <family val="1"/>
      <scheme val="major"/>
    </font>
    <font>
      <sz val="18"/>
      <name val="Cambria"/>
      <family val="1"/>
      <scheme val="major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color rgb="FF0033CC"/>
      <name val="Verdana"/>
      <family val="2"/>
    </font>
    <font>
      <sz val="9"/>
      <color rgb="FF0033CC"/>
      <name val="Verdana"/>
      <family val="2"/>
    </font>
    <font>
      <b/>
      <sz val="10"/>
      <color rgb="FF0033CC"/>
      <name val="Verdana"/>
      <family val="2"/>
    </font>
    <font>
      <sz val="10"/>
      <color rgb="FF0033CC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9"/>
      <color rgb="FF0000CC"/>
      <name val="Verdana"/>
      <family val="2"/>
    </font>
    <font>
      <b/>
      <i/>
      <sz val="9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0" fontId="4" fillId="2" borderId="0" xfId="0" applyFont="1" applyFill="1"/>
    <xf numFmtId="2" fontId="4" fillId="2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2" fontId="4" fillId="3" borderId="0" xfId="0" applyNumberFormat="1" applyFont="1" applyFill="1"/>
    <xf numFmtId="0" fontId="0" fillId="0" borderId="0" xfId="0" applyBorder="1"/>
    <xf numFmtId="0" fontId="2" fillId="3" borderId="0" xfId="0" applyFont="1" applyFill="1" applyAlignment="1"/>
    <xf numFmtId="0" fontId="2" fillId="4" borderId="0" xfId="0" applyFont="1" applyFill="1"/>
    <xf numFmtId="0" fontId="5" fillId="4" borderId="0" xfId="0" applyFont="1" applyFill="1"/>
    <xf numFmtId="0" fontId="0" fillId="0" borderId="1" xfId="0" applyBorder="1"/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3" fillId="4" borderId="0" xfId="0" applyFont="1" applyFill="1"/>
    <xf numFmtId="2" fontId="4" fillId="0" borderId="0" xfId="0" applyNumberFormat="1" applyFont="1"/>
    <xf numFmtId="2" fontId="0" fillId="0" borderId="0" xfId="0" applyNumberFormat="1" applyBorder="1"/>
    <xf numFmtId="2" fontId="0" fillId="4" borderId="3" xfId="0" applyNumberFormat="1" applyFill="1" applyBorder="1"/>
    <xf numFmtId="2" fontId="3" fillId="4" borderId="3" xfId="0" applyNumberFormat="1" applyFont="1" applyFill="1" applyBorder="1" applyAlignment="1">
      <alignment horizontal="right"/>
    </xf>
    <xf numFmtId="2" fontId="0" fillId="4" borderId="2" xfId="0" applyNumberFormat="1" applyFill="1" applyBorder="1"/>
    <xf numFmtId="0" fontId="0" fillId="2" borderId="0" xfId="0" applyFill="1" applyBorder="1"/>
    <xf numFmtId="0" fontId="8" fillId="2" borderId="0" xfId="0" applyFont="1" applyFill="1" applyBorder="1"/>
    <xf numFmtId="2" fontId="8" fillId="3" borderId="0" xfId="0" applyNumberFormat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7" xfId="0" applyNumberFormat="1" applyFont="1" applyBorder="1"/>
    <xf numFmtId="2" fontId="9" fillId="0" borderId="8" xfId="0" applyNumberFormat="1" applyFont="1" applyBorder="1" applyAlignment="1">
      <alignment horizontal="center"/>
    </xf>
    <xf numFmtId="2" fontId="9" fillId="0" borderId="10" xfId="0" applyNumberFormat="1" applyFont="1" applyBorder="1"/>
    <xf numFmtId="0" fontId="10" fillId="0" borderId="0" xfId="0" applyFont="1" applyAlignment="1">
      <alignment horizontal="center"/>
    </xf>
    <xf numFmtId="2" fontId="9" fillId="0" borderId="0" xfId="0" applyNumberFormat="1" applyFont="1"/>
    <xf numFmtId="0" fontId="10" fillId="0" borderId="0" xfId="0" applyFont="1"/>
    <xf numFmtId="0" fontId="9" fillId="6" borderId="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4" fontId="0" fillId="2" borderId="0" xfId="0" applyNumberFormat="1" applyFill="1" applyBorder="1"/>
    <xf numFmtId="2" fontId="2" fillId="4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2" fillId="4" borderId="3" xfId="0" applyNumberFormat="1" applyFont="1" applyFill="1" applyBorder="1" applyAlignment="1">
      <alignment horizontal="center"/>
    </xf>
    <xf numFmtId="2" fontId="1" fillId="0" borderId="0" xfId="0" applyNumberFormat="1" applyFont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/>
    <xf numFmtId="2" fontId="16" fillId="0" borderId="0" xfId="0" applyNumberFormat="1" applyFont="1"/>
    <xf numFmtId="0" fontId="20" fillId="0" borderId="0" xfId="0" applyFont="1" applyAlignment="1">
      <alignment horizontal="center" wrapText="1"/>
    </xf>
    <xf numFmtId="2" fontId="20" fillId="0" borderId="0" xfId="0" applyNumberFormat="1" applyFont="1"/>
    <xf numFmtId="0" fontId="20" fillId="0" borderId="0" xfId="0" applyFont="1"/>
    <xf numFmtId="0" fontId="20" fillId="0" borderId="0" xfId="0" applyFont="1" applyAlignment="1"/>
    <xf numFmtId="0" fontId="21" fillId="0" borderId="13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2" fontId="22" fillId="0" borderId="13" xfId="2" applyNumberFormat="1" applyFont="1" applyBorder="1" applyAlignment="1">
      <alignment horizontal="center" vertical="center"/>
    </xf>
    <xf numFmtId="8" fontId="19" fillId="9" borderId="13" xfId="1" applyNumberFormat="1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8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6" borderId="27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/>
    <xf numFmtId="2" fontId="9" fillId="0" borderId="6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2" fontId="10" fillId="0" borderId="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23" fillId="9" borderId="11" xfId="0" applyFont="1" applyFill="1" applyBorder="1" applyAlignment="1">
      <alignment horizontal="right" vertical="center" wrapText="1"/>
    </xf>
    <xf numFmtId="0" fontId="23" fillId="9" borderId="18" xfId="0" applyFont="1" applyFill="1" applyBorder="1" applyAlignment="1">
      <alignment horizontal="right" vertical="center" wrapText="1"/>
    </xf>
    <xf numFmtId="0" fontId="23" fillId="9" borderId="12" xfId="0" applyFont="1" applyFill="1" applyBorder="1" applyAlignment="1">
      <alignment horizontal="right" vertical="center" wrapText="1"/>
    </xf>
    <xf numFmtId="8" fontId="22" fillId="0" borderId="14" xfId="0" applyNumberFormat="1" applyFont="1" applyBorder="1" applyAlignment="1">
      <alignment horizontal="center" vertical="center"/>
    </xf>
    <xf numFmtId="8" fontId="22" fillId="0" borderId="8" xfId="0" applyNumberFormat="1" applyFont="1" applyBorder="1" applyAlignment="1">
      <alignment horizontal="center" vertical="center"/>
    </xf>
    <xf numFmtId="2" fontId="22" fillId="0" borderId="25" xfId="2" applyNumberFormat="1" applyFont="1" applyBorder="1" applyAlignment="1">
      <alignment horizontal="center" vertical="center"/>
    </xf>
    <xf numFmtId="2" fontId="22" fillId="0" borderId="26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7" fillId="0" borderId="0" xfId="3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14" xfId="2" applyNumberFormat="1" applyFont="1" applyBorder="1" applyAlignment="1">
      <alignment horizontal="center" vertical="center"/>
    </xf>
    <xf numFmtId="2" fontId="22" fillId="0" borderId="8" xfId="2" applyNumberFormat="1" applyFont="1" applyBorder="1" applyAlignment="1">
      <alignment horizontal="center" vertical="center"/>
    </xf>
    <xf numFmtId="8" fontId="22" fillId="0" borderId="14" xfId="0" applyNumberFormat="1" applyFont="1" applyBorder="1" applyAlignment="1">
      <alignment horizontal="right" vertical="center"/>
    </xf>
    <xf numFmtId="8" fontId="22" fillId="0" borderId="8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1" fontId="19" fillId="9" borderId="19" xfId="1" applyNumberFormat="1" applyFont="1" applyFill="1" applyBorder="1" applyAlignment="1">
      <alignment horizontal="center" vertical="center"/>
    </xf>
    <xf numFmtId="1" fontId="19" fillId="9" borderId="21" xfId="1" applyNumberFormat="1" applyFont="1" applyFill="1" applyBorder="1" applyAlignment="1">
      <alignment horizontal="center" vertical="center"/>
    </xf>
    <xf numFmtId="44" fontId="19" fillId="9" borderId="19" xfId="1" applyFont="1" applyFill="1" applyBorder="1" applyAlignment="1">
      <alignment horizontal="center" vertical="center"/>
    </xf>
    <xf numFmtId="44" fontId="19" fillId="9" borderId="21" xfId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right" vertical="center"/>
    </xf>
    <xf numFmtId="0" fontId="23" fillId="9" borderId="11" xfId="0" applyFont="1" applyFill="1" applyBorder="1" applyAlignment="1">
      <alignment horizontal="left" vertical="center" wrapText="1"/>
    </xf>
    <xf numFmtId="0" fontId="23" fillId="9" borderId="12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8" fontId="22" fillId="0" borderId="19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12" fillId="8" borderId="25" xfId="0" applyFont="1" applyFill="1" applyBorder="1" applyAlignment="1">
      <alignment horizontal="center" wrapText="1"/>
    </xf>
    <xf numFmtId="0" fontId="13" fillId="8" borderId="25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1" fontId="19" fillId="9" borderId="14" xfId="1" applyNumberFormat="1" applyFont="1" applyFill="1" applyBorder="1" applyAlignment="1">
      <alignment horizontal="center" vertical="center"/>
    </xf>
    <xf numFmtId="1" fontId="19" fillId="9" borderId="8" xfId="1" applyNumberFormat="1" applyFont="1" applyFill="1" applyBorder="1" applyAlignment="1">
      <alignment horizontal="center" vertical="center"/>
    </xf>
    <xf numFmtId="44" fontId="19" fillId="9" borderId="14" xfId="1" applyFont="1" applyFill="1" applyBorder="1" applyAlignment="1">
      <alignment horizontal="center" vertical="center"/>
    </xf>
    <xf numFmtId="44" fontId="19" fillId="9" borderId="8" xfId="1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pas.umh.es/files/2019/05/CALCULO-RC-nuevo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rviciopas.umh.es/files/2019/05/CALCULO-RC-nuevo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erviciopas.umh.es/files/2019/05/CALCULO-RC-nuev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rviciopas.umh.es/files/2019/04/CALCULO-RC-nuevo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pas.umh.es/files/2019/04/CALCULO-RC-nuevo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erviciopas.umh.es/files/2019/04/CALCULO-RC-nuevo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I32" sqref="I32:I33"/>
    </sheetView>
  </sheetViews>
  <sheetFormatPr baseColWidth="10" defaultColWidth="11.5703125" defaultRowHeight="14.25" x14ac:dyDescent="0.2"/>
  <cols>
    <col min="1" max="1" width="17.7109375" style="31" customWidth="1"/>
    <col min="2" max="2" width="20.85546875" style="31" customWidth="1"/>
    <col min="3" max="3" width="18.28515625" style="38" hidden="1" customWidth="1"/>
    <col min="4" max="4" width="16.7109375" style="31" customWidth="1"/>
    <col min="5" max="5" width="17" style="32" customWidth="1"/>
    <col min="6" max="6" width="16.5703125" style="32" bestFit="1" customWidth="1"/>
    <col min="7" max="7" width="17.28515625" style="31" bestFit="1" customWidth="1"/>
    <col min="8" max="8" width="9.42578125" style="32" customWidth="1"/>
    <col min="9" max="9" width="25.42578125" style="39" customWidth="1"/>
    <col min="10" max="10" width="22.7109375" style="32" customWidth="1"/>
    <col min="11" max="11" width="22.5703125" style="32" customWidth="1"/>
    <col min="12" max="12" width="20.85546875" style="32" customWidth="1"/>
    <col min="13" max="13" width="17.42578125" style="32" customWidth="1"/>
    <col min="14" max="16384" width="11.5703125" style="32"/>
  </cols>
  <sheetData>
    <row r="1" spans="1:13" ht="22.5" x14ac:dyDescent="0.3">
      <c r="A1" s="83"/>
      <c r="B1" s="158" t="s">
        <v>29</v>
      </c>
      <c r="C1" s="158"/>
      <c r="D1" s="159"/>
      <c r="E1" s="84"/>
      <c r="F1" s="158" t="s">
        <v>30</v>
      </c>
      <c r="G1" s="158"/>
      <c r="I1" s="32"/>
    </row>
    <row r="2" spans="1:13" ht="48" customHeight="1" x14ac:dyDescent="0.2">
      <c r="A2" s="111" t="s">
        <v>0</v>
      </c>
      <c r="B2" s="113" t="s">
        <v>72</v>
      </c>
      <c r="C2" s="126" t="s">
        <v>41</v>
      </c>
      <c r="D2" s="115" t="s">
        <v>71</v>
      </c>
      <c r="E2" s="111" t="s">
        <v>0</v>
      </c>
      <c r="F2" s="113" t="s">
        <v>72</v>
      </c>
      <c r="G2" s="115" t="s">
        <v>71</v>
      </c>
      <c r="I2" s="160" t="s">
        <v>47</v>
      </c>
      <c r="J2" s="160"/>
      <c r="K2" s="160"/>
      <c r="L2" s="160" t="s">
        <v>48</v>
      </c>
      <c r="M2" s="160"/>
    </row>
    <row r="3" spans="1:13" s="40" customFormat="1" ht="23.25" thickBot="1" x14ac:dyDescent="0.25">
      <c r="A3" s="112"/>
      <c r="B3" s="114"/>
      <c r="C3" s="127"/>
      <c r="D3" s="116"/>
      <c r="E3" s="112"/>
      <c r="F3" s="114"/>
      <c r="G3" s="116"/>
      <c r="I3" s="60" t="s">
        <v>49</v>
      </c>
      <c r="J3" s="60" t="s">
        <v>50</v>
      </c>
      <c r="K3" s="60" t="s">
        <v>51</v>
      </c>
      <c r="L3" s="61" t="s">
        <v>52</v>
      </c>
      <c r="M3" s="60" t="s">
        <v>53</v>
      </c>
    </row>
    <row r="4" spans="1:13" x14ac:dyDescent="0.2">
      <c r="A4" s="82">
        <v>40</v>
      </c>
      <c r="B4" s="33">
        <f>PARAMETROS!B2</f>
        <v>1360.7783841666669</v>
      </c>
      <c r="C4" s="34"/>
      <c r="D4" s="85"/>
      <c r="E4" s="82">
        <v>40</v>
      </c>
      <c r="F4" s="33">
        <f>PARAMETROS!C2</f>
        <v>3690.808685391667</v>
      </c>
      <c r="G4" s="100">
        <f>IF(F4&gt;=$K$4,$K$4*$K$18%,F4*$K$18%)</f>
        <v>1203.2036314376835</v>
      </c>
      <c r="I4" s="161">
        <v>1</v>
      </c>
      <c r="J4" s="162">
        <v>1466.4</v>
      </c>
      <c r="K4" s="162">
        <v>4070.1</v>
      </c>
      <c r="L4" s="163">
        <v>1050</v>
      </c>
      <c r="M4" s="163">
        <v>4070.1</v>
      </c>
    </row>
    <row r="5" spans="1:13" x14ac:dyDescent="0.2">
      <c r="A5" s="41">
        <v>39</v>
      </c>
      <c r="B5" s="33">
        <f>PRODUCT(B$4,A5)/A$4</f>
        <v>1326.7589245625002</v>
      </c>
      <c r="C5" s="34">
        <f>((A5/$A$4*7.5*5)/7)*30*$C$46</f>
        <v>1383.6294642857142</v>
      </c>
      <c r="D5" s="85">
        <f>IF(B5&lt;C5,C5*$K$18%,B5*$K$18%)</f>
        <v>451.06320535714286</v>
      </c>
      <c r="E5" s="41">
        <v>39</v>
      </c>
      <c r="F5" s="33">
        <f>PRODUCT(F$4,E5)/E$4</f>
        <v>3598.5384682568751</v>
      </c>
      <c r="G5" s="100">
        <f t="shared" ref="G5:G43" si="0">IF(F5&gt;=$K$4,$K$4*$K$18%,F5*$K$18%)</f>
        <v>1173.1235406517415</v>
      </c>
      <c r="I5" s="161"/>
      <c r="J5" s="162"/>
      <c r="K5" s="162"/>
      <c r="L5" s="163"/>
      <c r="M5" s="163"/>
    </row>
    <row r="6" spans="1:13" x14ac:dyDescent="0.2">
      <c r="A6" s="41">
        <v>38</v>
      </c>
      <c r="B6" s="33">
        <f>PRODUCT(B$4,A6)/A$4</f>
        <v>1292.7394649583334</v>
      </c>
      <c r="C6" s="34">
        <f t="shared" ref="C6:C43" si="1">((A6/$A$4*7.5*5)/7)*30*$C$46</f>
        <v>1348.1517857142858</v>
      </c>
      <c r="D6" s="85">
        <f t="shared" ref="D6:D43" si="2">IF(B6&lt;C6,C6*$K$18%,B6*$K$18%)</f>
        <v>439.49748214285717</v>
      </c>
      <c r="E6" s="41">
        <v>38</v>
      </c>
      <c r="F6" s="33">
        <f>PRODUCT(F$4,E6)/E$4</f>
        <v>3506.2682511220837</v>
      </c>
      <c r="G6" s="100">
        <f t="shared" si="0"/>
        <v>1143.0434498657994</v>
      </c>
      <c r="I6" s="62"/>
      <c r="J6" s="63"/>
      <c r="K6" s="63"/>
      <c r="L6" s="64"/>
      <c r="M6" s="63"/>
    </row>
    <row r="7" spans="1:13" ht="15" thickBot="1" x14ac:dyDescent="0.25">
      <c r="A7" s="41">
        <v>37</v>
      </c>
      <c r="B7" s="33">
        <f t="shared" ref="B7:B43" si="3">PRODUCT(B$4,A7)/A$4</f>
        <v>1258.7200053541669</v>
      </c>
      <c r="C7" s="34">
        <f t="shared" si="1"/>
        <v>1312.6741071428573</v>
      </c>
      <c r="D7" s="85">
        <f t="shared" si="2"/>
        <v>427.93175892857153</v>
      </c>
      <c r="E7" s="41">
        <v>37</v>
      </c>
      <c r="F7" s="33">
        <f t="shared" ref="F7:F43" si="4">PRODUCT(F$4,E7)/E$4</f>
        <v>3413.9980339872918</v>
      </c>
      <c r="G7" s="100">
        <f t="shared" si="0"/>
        <v>1112.9633590798571</v>
      </c>
      <c r="I7" s="62"/>
      <c r="J7" s="65"/>
      <c r="K7" s="63"/>
      <c r="L7" s="64"/>
      <c r="M7" s="63"/>
    </row>
    <row r="8" spans="1:13" x14ac:dyDescent="0.2">
      <c r="A8" s="41">
        <v>36</v>
      </c>
      <c r="B8" s="33">
        <f t="shared" si="3"/>
        <v>1224.7005457500004</v>
      </c>
      <c r="C8" s="34">
        <f t="shared" si="1"/>
        <v>1277.1964285714284</v>
      </c>
      <c r="D8" s="85">
        <f t="shared" si="2"/>
        <v>416.36603571428572</v>
      </c>
      <c r="E8" s="41">
        <v>36</v>
      </c>
      <c r="F8" s="33">
        <f t="shared" si="4"/>
        <v>3321.7278168524999</v>
      </c>
      <c r="G8" s="100">
        <f t="shared" si="0"/>
        <v>1082.8832682939151</v>
      </c>
      <c r="I8" s="143" t="s">
        <v>54</v>
      </c>
      <c r="J8" s="143"/>
      <c r="K8" s="144"/>
      <c r="L8" s="147">
        <v>1360.78</v>
      </c>
      <c r="M8" s="63"/>
    </row>
    <row r="9" spans="1:13" ht="15" thickBot="1" x14ac:dyDescent="0.25">
      <c r="A9" s="41">
        <v>35</v>
      </c>
      <c r="B9" s="33">
        <f t="shared" si="3"/>
        <v>1190.6810861458337</v>
      </c>
      <c r="C9" s="34">
        <f t="shared" si="1"/>
        <v>1241.71875</v>
      </c>
      <c r="D9" s="85">
        <f t="shared" si="2"/>
        <v>404.80031250000002</v>
      </c>
      <c r="E9" s="41">
        <v>35</v>
      </c>
      <c r="F9" s="33">
        <f t="shared" si="4"/>
        <v>3229.4575997177085</v>
      </c>
      <c r="G9" s="100">
        <f t="shared" si="0"/>
        <v>1052.803177507973</v>
      </c>
      <c r="I9" s="143"/>
      <c r="J9" s="143"/>
      <c r="K9" s="144"/>
      <c r="L9" s="148"/>
      <c r="M9" s="63"/>
    </row>
    <row r="10" spans="1:13" ht="15" thickBot="1" x14ac:dyDescent="0.25">
      <c r="A10" s="41">
        <v>34</v>
      </c>
      <c r="B10" s="33">
        <f t="shared" si="3"/>
        <v>1156.6616265416669</v>
      </c>
      <c r="C10" s="34">
        <f t="shared" si="1"/>
        <v>1206.2410714285716</v>
      </c>
      <c r="D10" s="85">
        <f t="shared" si="2"/>
        <v>393.23458928571432</v>
      </c>
      <c r="E10" s="41">
        <v>34</v>
      </c>
      <c r="F10" s="33">
        <f t="shared" si="4"/>
        <v>3137.1873825829171</v>
      </c>
      <c r="G10" s="100">
        <f t="shared" si="0"/>
        <v>1022.723086722031</v>
      </c>
      <c r="I10" s="66"/>
      <c r="J10" s="67"/>
      <c r="K10" s="68"/>
      <c r="L10" s="69"/>
      <c r="M10" s="63"/>
    </row>
    <row r="11" spans="1:13" x14ac:dyDescent="0.2">
      <c r="A11" s="41">
        <v>33</v>
      </c>
      <c r="B11" s="33">
        <f t="shared" si="3"/>
        <v>1122.6421669375002</v>
      </c>
      <c r="C11" s="34">
        <f t="shared" si="1"/>
        <v>1170.7633928571427</v>
      </c>
      <c r="D11" s="85">
        <f t="shared" si="2"/>
        <v>381.66886607142851</v>
      </c>
      <c r="E11" s="41">
        <v>33</v>
      </c>
      <c r="F11" s="33">
        <f t="shared" si="4"/>
        <v>3044.9171654481252</v>
      </c>
      <c r="G11" s="100">
        <f t="shared" si="0"/>
        <v>992.64299593608882</v>
      </c>
      <c r="I11" s="128" t="s">
        <v>55</v>
      </c>
      <c r="J11" s="129"/>
      <c r="K11" s="129"/>
      <c r="L11" s="130"/>
      <c r="M11" s="63"/>
    </row>
    <row r="12" spans="1:13" ht="15" thickBot="1" x14ac:dyDescent="0.25">
      <c r="A12" s="41">
        <v>32</v>
      </c>
      <c r="B12" s="33">
        <f t="shared" si="3"/>
        <v>1088.6227073333334</v>
      </c>
      <c r="C12" s="34">
        <f t="shared" si="1"/>
        <v>1135.2857142857142</v>
      </c>
      <c r="D12" s="85">
        <f t="shared" si="2"/>
        <v>370.10314285714287</v>
      </c>
      <c r="E12" s="41">
        <v>32</v>
      </c>
      <c r="F12" s="33">
        <f t="shared" si="4"/>
        <v>2952.6469483133337</v>
      </c>
      <c r="G12" s="100">
        <f t="shared" si="0"/>
        <v>962.56290515014678</v>
      </c>
      <c r="I12" s="131"/>
      <c r="J12" s="132"/>
      <c r="K12" s="132"/>
      <c r="L12" s="133"/>
      <c r="M12" s="63"/>
    </row>
    <row r="13" spans="1:13" ht="15" thickBot="1" x14ac:dyDescent="0.25">
      <c r="A13" s="41">
        <v>31</v>
      </c>
      <c r="B13" s="33">
        <f t="shared" si="3"/>
        <v>1054.6032477291669</v>
      </c>
      <c r="C13" s="34">
        <f t="shared" si="1"/>
        <v>1099.8080357142858</v>
      </c>
      <c r="D13" s="85">
        <f t="shared" si="2"/>
        <v>358.53741964285717</v>
      </c>
      <c r="E13" s="41">
        <v>31</v>
      </c>
      <c r="F13" s="33">
        <f t="shared" si="4"/>
        <v>2860.3767311785423</v>
      </c>
      <c r="G13" s="100">
        <f t="shared" si="0"/>
        <v>932.48281436420484</v>
      </c>
      <c r="I13" s="70"/>
      <c r="J13" s="71" t="s">
        <v>56</v>
      </c>
      <c r="K13" s="72" t="s">
        <v>57</v>
      </c>
      <c r="L13" s="73" t="s">
        <v>58</v>
      </c>
      <c r="M13" s="63"/>
    </row>
    <row r="14" spans="1:13" x14ac:dyDescent="0.2">
      <c r="A14" s="41">
        <v>30</v>
      </c>
      <c r="B14" s="33">
        <f t="shared" si="3"/>
        <v>1020.5837881250002</v>
      </c>
      <c r="C14" s="34">
        <f t="shared" si="1"/>
        <v>1064.3303571428571</v>
      </c>
      <c r="D14" s="85">
        <f t="shared" si="2"/>
        <v>346.97169642857142</v>
      </c>
      <c r="E14" s="41">
        <v>30</v>
      </c>
      <c r="F14" s="33">
        <f t="shared" si="4"/>
        <v>2768.1065140437504</v>
      </c>
      <c r="G14" s="100">
        <f t="shared" si="0"/>
        <v>902.40272357826268</v>
      </c>
      <c r="I14" s="154" t="s">
        <v>59</v>
      </c>
      <c r="J14" s="120">
        <f>IF(L8&gt;=J4,L8,J4)</f>
        <v>1466.4</v>
      </c>
      <c r="K14" s="122">
        <v>23.6</v>
      </c>
      <c r="L14" s="156">
        <f>J14*K14%</f>
        <v>346.07040000000006</v>
      </c>
      <c r="M14" s="63"/>
    </row>
    <row r="15" spans="1:13" ht="15" thickBot="1" x14ac:dyDescent="0.25">
      <c r="A15" s="41">
        <v>29</v>
      </c>
      <c r="B15" s="33">
        <f t="shared" si="3"/>
        <v>986.56432852083344</v>
      </c>
      <c r="C15" s="34">
        <f t="shared" si="1"/>
        <v>1028.8526785714287</v>
      </c>
      <c r="D15" s="85">
        <f t="shared" si="2"/>
        <v>335.40597321428578</v>
      </c>
      <c r="E15" s="41">
        <v>29</v>
      </c>
      <c r="F15" s="33">
        <f t="shared" si="4"/>
        <v>2675.8362969089585</v>
      </c>
      <c r="G15" s="100">
        <f t="shared" si="0"/>
        <v>872.32263279232052</v>
      </c>
      <c r="I15" s="155"/>
      <c r="J15" s="121"/>
      <c r="K15" s="123"/>
      <c r="L15" s="157"/>
      <c r="M15" s="63"/>
    </row>
    <row r="16" spans="1:13" x14ac:dyDescent="0.2">
      <c r="A16" s="41">
        <v>28</v>
      </c>
      <c r="B16" s="33">
        <f t="shared" si="3"/>
        <v>952.5448689166667</v>
      </c>
      <c r="C16" s="34">
        <f t="shared" si="1"/>
        <v>993.375</v>
      </c>
      <c r="D16" s="85">
        <f t="shared" si="2"/>
        <v>323.84025000000003</v>
      </c>
      <c r="E16" s="41">
        <v>28</v>
      </c>
      <c r="F16" s="33">
        <f t="shared" si="4"/>
        <v>2583.5660797741666</v>
      </c>
      <c r="G16" s="100">
        <f t="shared" si="0"/>
        <v>842.24254200637836</v>
      </c>
      <c r="I16" s="149" t="s">
        <v>60</v>
      </c>
      <c r="J16" s="120">
        <f>IF(L8&gt;=L4,L8,L4)</f>
        <v>1360.78</v>
      </c>
      <c r="K16" s="122">
        <v>9</v>
      </c>
      <c r="L16" s="140">
        <f>J16*K16%</f>
        <v>122.47019999999999</v>
      </c>
      <c r="M16" s="63"/>
    </row>
    <row r="17" spans="1:13" ht="15" thickBot="1" x14ac:dyDescent="0.25">
      <c r="A17" s="41">
        <v>27</v>
      </c>
      <c r="B17" s="33">
        <f t="shared" si="3"/>
        <v>918.52540931250019</v>
      </c>
      <c r="C17" s="34">
        <f t="shared" si="1"/>
        <v>957.89732142857133</v>
      </c>
      <c r="D17" s="85">
        <f t="shared" si="2"/>
        <v>312.27452678571427</v>
      </c>
      <c r="E17" s="41">
        <v>27</v>
      </c>
      <c r="F17" s="33">
        <f t="shared" si="4"/>
        <v>2491.2958626393752</v>
      </c>
      <c r="G17" s="100">
        <f t="shared" si="0"/>
        <v>812.16245122043631</v>
      </c>
      <c r="I17" s="150"/>
      <c r="J17" s="121"/>
      <c r="K17" s="123">
        <v>0.2</v>
      </c>
      <c r="L17" s="151"/>
      <c r="M17" s="63"/>
    </row>
    <row r="18" spans="1:13" ht="15" thickBot="1" x14ac:dyDescent="0.25">
      <c r="A18" s="41">
        <v>26</v>
      </c>
      <c r="B18" s="33">
        <f t="shared" si="3"/>
        <v>884.50594970833356</v>
      </c>
      <c r="C18" s="34">
        <f t="shared" si="1"/>
        <v>922.41964285714289</v>
      </c>
      <c r="D18" s="85">
        <f t="shared" si="2"/>
        <v>300.70880357142858</v>
      </c>
      <c r="E18" s="41">
        <v>26</v>
      </c>
      <c r="F18" s="33">
        <f t="shared" si="4"/>
        <v>2399.0256455045837</v>
      </c>
      <c r="G18" s="100">
        <f t="shared" si="0"/>
        <v>782.08236043449438</v>
      </c>
      <c r="I18" s="152" t="s">
        <v>61</v>
      </c>
      <c r="J18" s="153"/>
      <c r="K18" s="74">
        <f>(K14+K16)</f>
        <v>32.6</v>
      </c>
      <c r="L18" s="75">
        <f>SUM(L14:L17)</f>
        <v>468.54060000000004</v>
      </c>
      <c r="M18" s="63"/>
    </row>
    <row r="19" spans="1:13" x14ac:dyDescent="0.2">
      <c r="A19" s="41">
        <v>25</v>
      </c>
      <c r="B19" s="33">
        <f t="shared" si="3"/>
        <v>850.48649010416682</v>
      </c>
      <c r="C19" s="34">
        <f t="shared" si="1"/>
        <v>886.94196428571422</v>
      </c>
      <c r="D19" s="85">
        <f t="shared" si="2"/>
        <v>289.14308035714282</v>
      </c>
      <c r="E19" s="41">
        <v>25</v>
      </c>
      <c r="F19" s="33">
        <f t="shared" si="4"/>
        <v>2306.7554283697918</v>
      </c>
      <c r="G19" s="100">
        <f t="shared" si="0"/>
        <v>752.00226964855221</v>
      </c>
      <c r="I19" s="76"/>
      <c r="J19" s="77"/>
      <c r="K19" s="78"/>
      <c r="L19" s="79"/>
      <c r="M19" s="63"/>
    </row>
    <row r="20" spans="1:13" x14ac:dyDescent="0.2">
      <c r="A20" s="41">
        <v>24</v>
      </c>
      <c r="B20" s="33">
        <f t="shared" si="3"/>
        <v>816.46703050000019</v>
      </c>
      <c r="C20" s="34">
        <f t="shared" si="1"/>
        <v>851.46428571428578</v>
      </c>
      <c r="D20" s="85">
        <f t="shared" si="2"/>
        <v>277.57735714285718</v>
      </c>
      <c r="E20" s="41">
        <v>24</v>
      </c>
      <c r="F20" s="33">
        <f t="shared" si="4"/>
        <v>2214.4852112350004</v>
      </c>
      <c r="G20" s="100">
        <f t="shared" si="0"/>
        <v>721.92217886261017</v>
      </c>
      <c r="I20" s="142" t="s">
        <v>62</v>
      </c>
      <c r="J20" s="142"/>
      <c r="K20" s="142"/>
      <c r="L20" s="142"/>
      <c r="M20" s="142"/>
    </row>
    <row r="21" spans="1:13" x14ac:dyDescent="0.2">
      <c r="A21" s="41">
        <v>23</v>
      </c>
      <c r="B21" s="33">
        <f t="shared" si="3"/>
        <v>782.44757089583345</v>
      </c>
      <c r="C21" s="34">
        <f t="shared" si="1"/>
        <v>815.98660714285711</v>
      </c>
      <c r="D21" s="85">
        <f t="shared" si="2"/>
        <v>266.01163392857143</v>
      </c>
      <c r="E21" s="41">
        <v>23</v>
      </c>
      <c r="F21" s="33">
        <f t="shared" si="4"/>
        <v>2122.2149941002085</v>
      </c>
      <c r="G21" s="100">
        <f t="shared" si="0"/>
        <v>691.84208807666801</v>
      </c>
      <c r="I21" s="142"/>
      <c r="J21" s="142"/>
      <c r="K21" s="142"/>
      <c r="L21" s="142"/>
      <c r="M21" s="142"/>
    </row>
    <row r="22" spans="1:13" ht="15" thickBot="1" x14ac:dyDescent="0.25">
      <c r="A22" s="41">
        <v>22</v>
      </c>
      <c r="B22" s="33">
        <f t="shared" si="3"/>
        <v>748.42811129166671</v>
      </c>
      <c r="C22" s="34">
        <f t="shared" si="1"/>
        <v>780.50892857142867</v>
      </c>
      <c r="D22" s="85">
        <f t="shared" si="2"/>
        <v>254.44591071428576</v>
      </c>
      <c r="E22" s="41">
        <v>22</v>
      </c>
      <c r="F22" s="33">
        <f t="shared" si="4"/>
        <v>2029.9447769654168</v>
      </c>
      <c r="G22" s="100">
        <f t="shared" si="0"/>
        <v>661.76199729072596</v>
      </c>
      <c r="I22" s="62"/>
      <c r="J22" s="65"/>
      <c r="K22" s="63"/>
      <c r="L22" s="64"/>
      <c r="M22" s="63"/>
    </row>
    <row r="23" spans="1:13" x14ac:dyDescent="0.2">
      <c r="A23" s="41">
        <v>21</v>
      </c>
      <c r="B23" s="33">
        <f t="shared" si="3"/>
        <v>714.4086516875002</v>
      </c>
      <c r="C23" s="34">
        <f t="shared" si="1"/>
        <v>745.03125</v>
      </c>
      <c r="D23" s="85">
        <f t="shared" si="2"/>
        <v>242.88018750000001</v>
      </c>
      <c r="E23" s="41">
        <v>21</v>
      </c>
      <c r="F23" s="33">
        <f t="shared" si="4"/>
        <v>1937.6745598306254</v>
      </c>
      <c r="G23" s="100">
        <f t="shared" si="0"/>
        <v>631.68190650478391</v>
      </c>
      <c r="I23" s="143" t="s">
        <v>63</v>
      </c>
      <c r="J23" s="143"/>
      <c r="K23" s="144"/>
      <c r="L23" s="145">
        <v>0</v>
      </c>
      <c r="M23" s="63"/>
    </row>
    <row r="24" spans="1:13" ht="15" thickBot="1" x14ac:dyDescent="0.25">
      <c r="A24" s="41">
        <v>20</v>
      </c>
      <c r="B24" s="33">
        <f t="shared" si="3"/>
        <v>680.38919208333346</v>
      </c>
      <c r="C24" s="34">
        <f t="shared" si="1"/>
        <v>709.55357142857133</v>
      </c>
      <c r="D24" s="85">
        <f t="shared" si="2"/>
        <v>231.31446428571425</v>
      </c>
      <c r="E24" s="41">
        <v>20</v>
      </c>
      <c r="F24" s="33">
        <f t="shared" si="4"/>
        <v>1845.4043426958335</v>
      </c>
      <c r="G24" s="100">
        <f t="shared" si="0"/>
        <v>601.60181571884175</v>
      </c>
      <c r="I24" s="143"/>
      <c r="J24" s="143"/>
      <c r="K24" s="144"/>
      <c r="L24" s="146"/>
      <c r="M24" s="63"/>
    </row>
    <row r="25" spans="1:13" ht="15" thickBot="1" x14ac:dyDescent="0.25">
      <c r="A25" s="41">
        <v>19</v>
      </c>
      <c r="B25" s="33">
        <f t="shared" si="3"/>
        <v>646.36973247916671</v>
      </c>
      <c r="C25" s="34">
        <f t="shared" si="1"/>
        <v>674.07589285714289</v>
      </c>
      <c r="D25" s="85">
        <f t="shared" si="2"/>
        <v>219.74874107142858</v>
      </c>
      <c r="E25" s="41">
        <v>19</v>
      </c>
      <c r="F25" s="33">
        <f t="shared" si="4"/>
        <v>1753.1341255610419</v>
      </c>
      <c r="G25" s="100">
        <f t="shared" si="0"/>
        <v>571.5217249328997</v>
      </c>
      <c r="I25" s="62"/>
      <c r="J25" s="65"/>
      <c r="K25" s="63"/>
      <c r="L25" s="64"/>
      <c r="M25" s="63"/>
    </row>
    <row r="26" spans="1:13" x14ac:dyDescent="0.2">
      <c r="A26" s="41">
        <v>18</v>
      </c>
      <c r="B26" s="33">
        <f t="shared" si="3"/>
        <v>612.3502728750002</v>
      </c>
      <c r="C26" s="34">
        <f t="shared" si="1"/>
        <v>638.59821428571422</v>
      </c>
      <c r="D26" s="85">
        <f t="shared" si="2"/>
        <v>208.18301785714286</v>
      </c>
      <c r="E26" s="41">
        <v>18</v>
      </c>
      <c r="F26" s="33">
        <f t="shared" si="4"/>
        <v>1660.86390842625</v>
      </c>
      <c r="G26" s="100">
        <f t="shared" si="0"/>
        <v>541.44163414695754</v>
      </c>
      <c r="I26" s="143" t="s">
        <v>64</v>
      </c>
      <c r="J26" s="143"/>
      <c r="K26" s="144"/>
      <c r="L26" s="147">
        <v>0</v>
      </c>
      <c r="M26" s="63"/>
    </row>
    <row r="27" spans="1:13" ht="15" thickBot="1" x14ac:dyDescent="0.25">
      <c r="A27" s="41">
        <v>17</v>
      </c>
      <c r="B27" s="33">
        <f t="shared" si="3"/>
        <v>578.33081327083346</v>
      </c>
      <c r="C27" s="34">
        <f t="shared" si="1"/>
        <v>603.12053571428578</v>
      </c>
      <c r="D27" s="85">
        <f t="shared" si="2"/>
        <v>196.61729464285716</v>
      </c>
      <c r="E27" s="41">
        <v>17</v>
      </c>
      <c r="F27" s="33">
        <f t="shared" si="4"/>
        <v>1568.5936912914585</v>
      </c>
      <c r="G27" s="100">
        <f t="shared" si="0"/>
        <v>511.36154336101549</v>
      </c>
      <c r="I27" s="143"/>
      <c r="J27" s="143"/>
      <c r="K27" s="144"/>
      <c r="L27" s="148"/>
      <c r="M27" s="63"/>
    </row>
    <row r="28" spans="1:13" ht="15" thickBot="1" x14ac:dyDescent="0.25">
      <c r="A28" s="41">
        <v>16</v>
      </c>
      <c r="B28" s="33">
        <f t="shared" si="3"/>
        <v>544.31135366666672</v>
      </c>
      <c r="C28" s="34">
        <f t="shared" si="1"/>
        <v>567.64285714285711</v>
      </c>
      <c r="D28" s="85">
        <f t="shared" si="2"/>
        <v>185.05157142857144</v>
      </c>
      <c r="E28" s="41">
        <v>16</v>
      </c>
      <c r="F28" s="33">
        <f t="shared" si="4"/>
        <v>1476.3234741566669</v>
      </c>
      <c r="G28" s="100">
        <f t="shared" si="0"/>
        <v>481.28145257507339</v>
      </c>
      <c r="I28" s="62"/>
      <c r="J28" s="65"/>
      <c r="K28" s="63"/>
      <c r="L28" s="64"/>
      <c r="M28" s="63"/>
    </row>
    <row r="29" spans="1:13" x14ac:dyDescent="0.2">
      <c r="A29" s="41">
        <v>15</v>
      </c>
      <c r="B29" s="33">
        <f t="shared" si="3"/>
        <v>510.29189406250009</v>
      </c>
      <c r="C29" s="34">
        <f t="shared" si="1"/>
        <v>532.16517857142856</v>
      </c>
      <c r="D29" s="85">
        <f t="shared" si="2"/>
        <v>173.48584821428571</v>
      </c>
      <c r="E29" s="41">
        <v>15</v>
      </c>
      <c r="F29" s="33">
        <f t="shared" si="4"/>
        <v>1384.0532570218752</v>
      </c>
      <c r="G29" s="100">
        <f t="shared" si="0"/>
        <v>451.20136178913134</v>
      </c>
      <c r="I29" s="128" t="s">
        <v>65</v>
      </c>
      <c r="J29" s="129"/>
      <c r="K29" s="129"/>
      <c r="L29" s="130"/>
      <c r="M29" s="63"/>
    </row>
    <row r="30" spans="1:13" ht="15" thickBot="1" x14ac:dyDescent="0.25">
      <c r="A30" s="41">
        <v>14</v>
      </c>
      <c r="B30" s="33">
        <f t="shared" si="3"/>
        <v>476.27243445833335</v>
      </c>
      <c r="C30" s="34">
        <f t="shared" si="1"/>
        <v>496.6875</v>
      </c>
      <c r="D30" s="85">
        <f t="shared" si="2"/>
        <v>161.92012500000001</v>
      </c>
      <c r="E30" s="41">
        <v>14</v>
      </c>
      <c r="F30" s="33">
        <f t="shared" si="4"/>
        <v>1291.7830398870833</v>
      </c>
      <c r="G30" s="100">
        <f t="shared" si="0"/>
        <v>421.12127100318918</v>
      </c>
      <c r="I30" s="131"/>
      <c r="J30" s="132"/>
      <c r="K30" s="132"/>
      <c r="L30" s="133"/>
      <c r="M30" s="63"/>
    </row>
    <row r="31" spans="1:13" ht="15" thickBot="1" x14ac:dyDescent="0.25">
      <c r="A31" s="41">
        <v>13</v>
      </c>
      <c r="B31" s="33">
        <f t="shared" si="3"/>
        <v>442.25297485416678</v>
      </c>
      <c r="C31" s="34">
        <f t="shared" si="1"/>
        <v>461.20982142857144</v>
      </c>
      <c r="D31" s="85">
        <f t="shared" si="2"/>
        <v>150.35440178571429</v>
      </c>
      <c r="E31" s="41">
        <v>13</v>
      </c>
      <c r="F31" s="33">
        <f t="shared" si="4"/>
        <v>1199.5128227522919</v>
      </c>
      <c r="G31" s="100">
        <f t="shared" si="0"/>
        <v>391.04118021724719</v>
      </c>
      <c r="I31" s="80" t="s">
        <v>66</v>
      </c>
      <c r="J31" s="81" t="s">
        <v>56</v>
      </c>
      <c r="K31" s="72" t="s">
        <v>67</v>
      </c>
      <c r="L31" s="73" t="s">
        <v>58</v>
      </c>
      <c r="M31" s="63"/>
    </row>
    <row r="32" spans="1:13" x14ac:dyDescent="0.2">
      <c r="A32" s="41">
        <v>12</v>
      </c>
      <c r="B32" s="33">
        <f t="shared" si="3"/>
        <v>408.2335152500001</v>
      </c>
      <c r="C32" s="34">
        <f t="shared" si="1"/>
        <v>425.73214285714289</v>
      </c>
      <c r="D32" s="85">
        <f t="shared" si="2"/>
        <v>138.78867857142859</v>
      </c>
      <c r="E32" s="41">
        <v>12</v>
      </c>
      <c r="F32" s="33">
        <f t="shared" si="4"/>
        <v>1107.2426056175002</v>
      </c>
      <c r="G32" s="100">
        <f t="shared" si="0"/>
        <v>360.96108943130508</v>
      </c>
      <c r="I32" s="134">
        <f>((L23/40*7.5*5)/7)*30*$C$46</f>
        <v>0</v>
      </c>
      <c r="J32" s="136">
        <f>IF(L26&lt;I32,I32,L26)</f>
        <v>0</v>
      </c>
      <c r="K32" s="138">
        <v>32.6</v>
      </c>
      <c r="L32" s="140">
        <f>J32*K32%</f>
        <v>0</v>
      </c>
      <c r="M32" s="63"/>
    </row>
    <row r="33" spans="1:13" ht="15" thickBot="1" x14ac:dyDescent="0.25">
      <c r="A33" s="41">
        <v>11</v>
      </c>
      <c r="B33" s="33">
        <f t="shared" si="3"/>
        <v>374.21405564583335</v>
      </c>
      <c r="C33" s="34">
        <f t="shared" si="1"/>
        <v>390.25446428571433</v>
      </c>
      <c r="D33" s="85">
        <f t="shared" si="2"/>
        <v>127.22295535714288</v>
      </c>
      <c r="E33" s="41">
        <v>11</v>
      </c>
      <c r="F33" s="33">
        <f t="shared" si="4"/>
        <v>1014.9723884827084</v>
      </c>
      <c r="G33" s="100">
        <f t="shared" si="0"/>
        <v>330.88099864536298</v>
      </c>
      <c r="I33" s="135"/>
      <c r="J33" s="137"/>
      <c r="K33" s="139"/>
      <c r="L33" s="141"/>
      <c r="M33" s="63"/>
    </row>
    <row r="34" spans="1:13" ht="15" thickBot="1" x14ac:dyDescent="0.25">
      <c r="A34" s="41">
        <v>10</v>
      </c>
      <c r="B34" s="33">
        <f t="shared" si="3"/>
        <v>340.19459604166673</v>
      </c>
      <c r="C34" s="34">
        <f t="shared" si="1"/>
        <v>354.77678571428567</v>
      </c>
      <c r="D34" s="85">
        <f t="shared" si="2"/>
        <v>115.65723214285713</v>
      </c>
      <c r="E34" s="41">
        <v>10</v>
      </c>
      <c r="F34" s="33">
        <f t="shared" si="4"/>
        <v>922.70217134791676</v>
      </c>
      <c r="G34" s="100">
        <f t="shared" si="0"/>
        <v>300.80090785942087</v>
      </c>
      <c r="I34" s="117" t="s">
        <v>68</v>
      </c>
      <c r="J34" s="118"/>
      <c r="K34" s="119"/>
      <c r="L34" s="75">
        <f>SUM(L32)</f>
        <v>0</v>
      </c>
      <c r="M34" s="63"/>
    </row>
    <row r="35" spans="1:13" x14ac:dyDescent="0.2">
      <c r="A35" s="41">
        <v>9</v>
      </c>
      <c r="B35" s="33">
        <f t="shared" si="3"/>
        <v>306.1751364375001</v>
      </c>
      <c r="C35" s="34">
        <f t="shared" si="1"/>
        <v>319.29910714285711</v>
      </c>
      <c r="D35" s="85">
        <f t="shared" si="2"/>
        <v>104.09150892857143</v>
      </c>
      <c r="E35" s="41">
        <v>9</v>
      </c>
      <c r="F35" s="33">
        <f t="shared" si="4"/>
        <v>830.43195421312498</v>
      </c>
      <c r="G35" s="100">
        <f t="shared" si="0"/>
        <v>270.72081707347877</v>
      </c>
      <c r="I35" s="62"/>
      <c r="J35" s="65"/>
      <c r="K35" s="63"/>
      <c r="L35" s="64"/>
      <c r="M35" s="63"/>
    </row>
    <row r="36" spans="1:13" x14ac:dyDescent="0.2">
      <c r="A36" s="41">
        <v>8</v>
      </c>
      <c r="B36" s="33">
        <f t="shared" si="3"/>
        <v>272.15567683333336</v>
      </c>
      <c r="C36" s="34">
        <f t="shared" si="1"/>
        <v>283.82142857142856</v>
      </c>
      <c r="D36" s="85">
        <f t="shared" si="2"/>
        <v>92.525785714285718</v>
      </c>
      <c r="E36" s="41">
        <v>8</v>
      </c>
      <c r="F36" s="33">
        <f t="shared" si="4"/>
        <v>738.16173707833343</v>
      </c>
      <c r="G36" s="100">
        <f t="shared" si="0"/>
        <v>240.64072628753669</v>
      </c>
      <c r="I36" s="124" t="s">
        <v>69</v>
      </c>
      <c r="J36" s="124"/>
      <c r="K36" s="124"/>
      <c r="L36" s="124"/>
      <c r="M36" s="125" t="s">
        <v>70</v>
      </c>
    </row>
    <row r="37" spans="1:13" x14ac:dyDescent="0.2">
      <c r="A37" s="41">
        <v>7</v>
      </c>
      <c r="B37" s="33">
        <f t="shared" si="3"/>
        <v>238.13621722916668</v>
      </c>
      <c r="C37" s="34">
        <f t="shared" si="1"/>
        <v>248.34375</v>
      </c>
      <c r="D37" s="85">
        <f t="shared" si="2"/>
        <v>80.960062500000006</v>
      </c>
      <c r="E37" s="41">
        <v>7</v>
      </c>
      <c r="F37" s="33">
        <f t="shared" si="4"/>
        <v>645.89151994354165</v>
      </c>
      <c r="G37" s="100">
        <f t="shared" si="0"/>
        <v>210.56063550159459</v>
      </c>
      <c r="I37" s="124"/>
      <c r="J37" s="124"/>
      <c r="K37" s="124"/>
      <c r="L37" s="124"/>
      <c r="M37" s="125"/>
    </row>
    <row r="38" spans="1:13" x14ac:dyDescent="0.2">
      <c r="A38" s="41">
        <v>6</v>
      </c>
      <c r="B38" s="33">
        <f t="shared" si="3"/>
        <v>204.11675762500005</v>
      </c>
      <c r="C38" s="34">
        <f t="shared" si="1"/>
        <v>212.86607142857144</v>
      </c>
      <c r="D38" s="85">
        <f t="shared" si="2"/>
        <v>69.394339285714295</v>
      </c>
      <c r="E38" s="41">
        <v>6</v>
      </c>
      <c r="F38" s="33">
        <f t="shared" si="4"/>
        <v>553.6213028087501</v>
      </c>
      <c r="G38" s="100">
        <f t="shared" si="0"/>
        <v>180.48054471565254</v>
      </c>
      <c r="I38" s="32"/>
    </row>
    <row r="39" spans="1:13" x14ac:dyDescent="0.2">
      <c r="A39" s="41">
        <v>5</v>
      </c>
      <c r="B39" s="33">
        <f t="shared" si="3"/>
        <v>170.09729802083336</v>
      </c>
      <c r="C39" s="34">
        <f t="shared" si="1"/>
        <v>177.38839285714283</v>
      </c>
      <c r="D39" s="85">
        <f t="shared" si="2"/>
        <v>57.828616071428563</v>
      </c>
      <c r="E39" s="41">
        <v>5</v>
      </c>
      <c r="F39" s="33">
        <f t="shared" si="4"/>
        <v>461.35108567395838</v>
      </c>
      <c r="G39" s="100">
        <f t="shared" si="0"/>
        <v>150.40045392971044</v>
      </c>
      <c r="I39" s="32"/>
    </row>
    <row r="40" spans="1:13" x14ac:dyDescent="0.2">
      <c r="A40" s="41">
        <v>4</v>
      </c>
      <c r="B40" s="33">
        <f t="shared" si="3"/>
        <v>136.07783841666668</v>
      </c>
      <c r="C40" s="34">
        <f t="shared" si="1"/>
        <v>141.91071428571428</v>
      </c>
      <c r="D40" s="85">
        <f t="shared" si="2"/>
        <v>46.262892857142859</v>
      </c>
      <c r="E40" s="41">
        <v>4</v>
      </c>
      <c r="F40" s="33">
        <f t="shared" si="4"/>
        <v>369.08086853916672</v>
      </c>
      <c r="G40" s="100">
        <f t="shared" si="0"/>
        <v>120.32036314376835</v>
      </c>
      <c r="I40" s="32"/>
    </row>
    <row r="41" spans="1:13" x14ac:dyDescent="0.2">
      <c r="A41" s="41">
        <v>3</v>
      </c>
      <c r="B41" s="33">
        <f t="shared" si="3"/>
        <v>102.05837881250002</v>
      </c>
      <c r="C41" s="34">
        <f t="shared" si="1"/>
        <v>106.43303571428572</v>
      </c>
      <c r="D41" s="85">
        <f t="shared" si="2"/>
        <v>34.697169642857148</v>
      </c>
      <c r="E41" s="41">
        <v>3</v>
      </c>
      <c r="F41" s="33">
        <f t="shared" si="4"/>
        <v>276.81065140437505</v>
      </c>
      <c r="G41" s="100">
        <f t="shared" si="0"/>
        <v>90.240272357826271</v>
      </c>
      <c r="I41" s="32"/>
    </row>
    <row r="42" spans="1:13" x14ac:dyDescent="0.2">
      <c r="A42" s="41">
        <v>2</v>
      </c>
      <c r="B42" s="33">
        <f t="shared" si="3"/>
        <v>68.03891920833334</v>
      </c>
      <c r="C42" s="34">
        <f t="shared" si="1"/>
        <v>70.955357142857139</v>
      </c>
      <c r="D42" s="85">
        <f t="shared" si="2"/>
        <v>23.131446428571429</v>
      </c>
      <c r="E42" s="41">
        <v>2</v>
      </c>
      <c r="F42" s="33">
        <f t="shared" si="4"/>
        <v>184.54043426958336</v>
      </c>
      <c r="G42" s="100">
        <f t="shared" si="0"/>
        <v>60.160181571884173</v>
      </c>
      <c r="I42" s="32"/>
    </row>
    <row r="43" spans="1:13" ht="15" thickBot="1" x14ac:dyDescent="0.25">
      <c r="A43" s="88">
        <v>1</v>
      </c>
      <c r="B43" s="36">
        <f t="shared" si="3"/>
        <v>34.01945960416667</v>
      </c>
      <c r="C43" s="89">
        <f t="shared" si="1"/>
        <v>35.477678571428569</v>
      </c>
      <c r="D43" s="86">
        <f t="shared" si="2"/>
        <v>11.565723214285715</v>
      </c>
      <c r="E43" s="90">
        <v>1</v>
      </c>
      <c r="F43" s="36">
        <f t="shared" si="4"/>
        <v>92.270217134791679</v>
      </c>
      <c r="G43" s="101">
        <f t="shared" si="0"/>
        <v>30.080090785942087</v>
      </c>
      <c r="I43" s="32"/>
    </row>
    <row r="46" spans="1:13" s="54" customFormat="1" ht="43.5" hidden="1" thickBot="1" x14ac:dyDescent="0.25">
      <c r="A46" s="51"/>
      <c r="B46" s="52" t="s">
        <v>40</v>
      </c>
      <c r="C46" s="53">
        <v>8.83</v>
      </c>
      <c r="D46" s="51"/>
      <c r="E46" s="55"/>
      <c r="G46" s="51"/>
      <c r="I46" s="56"/>
    </row>
  </sheetData>
  <sheetProtection algorithmName="SHA-512" hashValue="iX2vfIwQs/hp2Y/k/gexOSudUgaIyJRXmSD8TPLfJj5Um2LRXDhKamTsQzX6+PVEtPcR9OLLI0Pyf4y//7hpnw==" saltValue="dg9XAxlJzBymWtIrgDUMwA==" spinCount="100000" sheet="1" objects="1" scenarios="1"/>
  <protectedRanges>
    <protectedRange sqref="M36" name="CALCULO RC"/>
    <protectedRange sqref="L26" name="RET TP"/>
    <protectedRange sqref="L23" name="HORAS"/>
    <protectedRange sqref="L8" name="RET TC"/>
  </protectedRanges>
  <mergeCells count="41">
    <mergeCell ref="B1:D1"/>
    <mergeCell ref="F1:G1"/>
    <mergeCell ref="I2:K2"/>
    <mergeCell ref="L2:M2"/>
    <mergeCell ref="I4:I5"/>
    <mergeCell ref="J4:J5"/>
    <mergeCell ref="K4:K5"/>
    <mergeCell ref="L4:L5"/>
    <mergeCell ref="M4:M5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36:L37"/>
    <mergeCell ref="M36:M37"/>
    <mergeCell ref="B2:B3"/>
    <mergeCell ref="D2:D3"/>
    <mergeCell ref="C2:C3"/>
    <mergeCell ref="I29:L30"/>
    <mergeCell ref="I32:I33"/>
    <mergeCell ref="J32:J33"/>
    <mergeCell ref="K32:K33"/>
    <mergeCell ref="L32:L33"/>
    <mergeCell ref="I20:M21"/>
    <mergeCell ref="I23:K24"/>
    <mergeCell ref="L23:L24"/>
    <mergeCell ref="I26:K27"/>
    <mergeCell ref="L26:L27"/>
    <mergeCell ref="I16:I17"/>
    <mergeCell ref="A2:A3"/>
    <mergeCell ref="E2:E3"/>
    <mergeCell ref="F2:F3"/>
    <mergeCell ref="G2:G3"/>
    <mergeCell ref="I34:K34"/>
    <mergeCell ref="J16:J17"/>
    <mergeCell ref="K16:K17"/>
  </mergeCells>
  <phoneticPr fontId="7" type="noConversion"/>
  <hyperlinks>
    <hyperlink ref="M36:M37" r:id="rId1" display="CALCULO RC"/>
  </hyperlinks>
  <pageMargins left="0.75" right="0.75" top="1" bottom="1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workbookViewId="0">
      <selection activeCell="M23" sqref="M23"/>
    </sheetView>
  </sheetViews>
  <sheetFormatPr baseColWidth="10" defaultColWidth="11.5703125" defaultRowHeight="14.25" x14ac:dyDescent="0.2"/>
  <cols>
    <col min="1" max="1" width="17.7109375" style="31" customWidth="1"/>
    <col min="2" max="2" width="16.5703125" style="31" bestFit="1" customWidth="1"/>
    <col min="3" max="3" width="16.7109375" style="92" hidden="1" customWidth="1"/>
    <col min="4" max="4" width="15.140625" style="31" bestFit="1" customWidth="1"/>
    <col min="5" max="5" width="17" style="32" customWidth="1"/>
    <col min="6" max="6" width="16.5703125" style="32" bestFit="1" customWidth="1"/>
    <col min="7" max="7" width="15.5703125" style="32" bestFit="1" customWidth="1"/>
    <col min="8" max="8" width="11.5703125" style="32"/>
    <col min="9" max="9" width="28.140625" style="39" bestFit="1" customWidth="1"/>
    <col min="10" max="10" width="17" style="32" bestFit="1" customWidth="1"/>
    <col min="11" max="11" width="19.85546875" style="32" bestFit="1" customWidth="1"/>
    <col min="12" max="12" width="16.140625" style="32" bestFit="1" customWidth="1"/>
    <col min="13" max="13" width="16.42578125" style="32" customWidth="1"/>
    <col min="14" max="16384" width="11.5703125" style="32"/>
  </cols>
  <sheetData>
    <row r="1" spans="1:13" ht="23.45" customHeight="1" x14ac:dyDescent="0.3">
      <c r="A1" s="83"/>
      <c r="B1" s="158" t="s">
        <v>29</v>
      </c>
      <c r="C1" s="158"/>
      <c r="D1" s="159"/>
      <c r="E1" s="84"/>
      <c r="F1" s="158" t="s">
        <v>30</v>
      </c>
      <c r="G1" s="158"/>
      <c r="I1" s="32"/>
    </row>
    <row r="2" spans="1:13" ht="41.45" customHeight="1" x14ac:dyDescent="0.2">
      <c r="A2" s="111" t="s">
        <v>0</v>
      </c>
      <c r="B2" s="113" t="s">
        <v>72</v>
      </c>
      <c r="C2" s="164" t="s">
        <v>41</v>
      </c>
      <c r="D2" s="115" t="s">
        <v>71</v>
      </c>
      <c r="E2" s="111" t="s">
        <v>0</v>
      </c>
      <c r="F2" s="113" t="s">
        <v>72</v>
      </c>
      <c r="G2" s="115" t="s">
        <v>71</v>
      </c>
      <c r="I2" s="160" t="s">
        <v>47</v>
      </c>
      <c r="J2" s="160"/>
      <c r="K2" s="160"/>
      <c r="L2" s="160" t="s">
        <v>48</v>
      </c>
      <c r="M2" s="160"/>
    </row>
    <row r="3" spans="1:13" s="40" customFormat="1" ht="23.25" thickBot="1" x14ac:dyDescent="0.25">
      <c r="A3" s="112"/>
      <c r="B3" s="114"/>
      <c r="C3" s="165"/>
      <c r="D3" s="116"/>
      <c r="E3" s="112"/>
      <c r="F3" s="114"/>
      <c r="G3" s="116"/>
      <c r="I3" s="60" t="s">
        <v>49</v>
      </c>
      <c r="J3" s="60" t="s">
        <v>50</v>
      </c>
      <c r="K3" s="60" t="s">
        <v>51</v>
      </c>
      <c r="L3" s="61" t="s">
        <v>52</v>
      </c>
      <c r="M3" s="60" t="s">
        <v>53</v>
      </c>
    </row>
    <row r="4" spans="1:13" x14ac:dyDescent="0.2">
      <c r="A4" s="41">
        <v>40</v>
      </c>
      <c r="B4" s="33">
        <f>PARAMETROS!B3</f>
        <v>1360.7783841666669</v>
      </c>
      <c r="C4" s="91"/>
      <c r="D4" s="85"/>
      <c r="E4" s="41">
        <v>40</v>
      </c>
      <c r="F4" s="33">
        <f>PARAMETROS!C3</f>
        <v>2974.1963372916666</v>
      </c>
      <c r="G4" s="35">
        <f>IF(F4&gt;$K$4,$K$4*$K$18%,F4*$K$18%)</f>
        <v>969.5880059570834</v>
      </c>
      <c r="I4" s="161">
        <v>1</v>
      </c>
      <c r="J4" s="162">
        <v>1466.4</v>
      </c>
      <c r="K4" s="162">
        <v>4070.1</v>
      </c>
      <c r="L4" s="163">
        <v>1050</v>
      </c>
      <c r="M4" s="163">
        <v>4070.1</v>
      </c>
    </row>
    <row r="5" spans="1:13" x14ac:dyDescent="0.2">
      <c r="A5" s="41">
        <v>39</v>
      </c>
      <c r="B5" s="33">
        <f>PRODUCT(B$4,A5)/A$4</f>
        <v>1326.7589245625002</v>
      </c>
      <c r="C5" s="91">
        <f>(A5/$A$4*7.5*5)/7*30*$C$46</f>
        <v>1383.6294642857142</v>
      </c>
      <c r="D5" s="85">
        <f>IF(B5&lt;C5,C5*$K$18%,B5*$K$18%)</f>
        <v>451.06320535714286</v>
      </c>
      <c r="E5" s="41">
        <v>39</v>
      </c>
      <c r="F5" s="33">
        <f t="shared" ref="F5:F43" si="0">PRODUCT(F$4,E5)/E$4</f>
        <v>2899.8414288593749</v>
      </c>
      <c r="G5" s="35">
        <f t="shared" ref="G5:G43" si="1">IF(F5&gt;$K$4,$K$4*$K$18%,F5*$K$18%)</f>
        <v>945.34830580815628</v>
      </c>
      <c r="I5" s="161"/>
      <c r="J5" s="162"/>
      <c r="K5" s="162"/>
      <c r="L5" s="163"/>
      <c r="M5" s="163"/>
    </row>
    <row r="6" spans="1:13" x14ac:dyDescent="0.2">
      <c r="A6" s="41">
        <v>38</v>
      </c>
      <c r="B6" s="33">
        <f t="shared" ref="B6:B43" si="2">PRODUCT(B$4,A6)/A$4</f>
        <v>1292.7394649583334</v>
      </c>
      <c r="C6" s="91">
        <f t="shared" ref="C6:C43" si="3">(A6/$A$4*7.5*5)/7*30*$C$46</f>
        <v>1348.1517857142858</v>
      </c>
      <c r="D6" s="85">
        <f t="shared" ref="D6:D43" si="4">IF(B6&lt;C6,C6*$K$18%,B6*$K$18%)</f>
        <v>439.49748214285717</v>
      </c>
      <c r="E6" s="41">
        <v>38</v>
      </c>
      <c r="F6" s="33">
        <f t="shared" si="0"/>
        <v>2825.4865204270836</v>
      </c>
      <c r="G6" s="35">
        <f t="shared" si="1"/>
        <v>921.10860565922928</v>
      </c>
      <c r="I6" s="62"/>
      <c r="J6" s="63"/>
      <c r="K6" s="63"/>
      <c r="L6" s="64"/>
      <c r="M6" s="63"/>
    </row>
    <row r="7" spans="1:13" ht="15" thickBot="1" x14ac:dyDescent="0.25">
      <c r="A7" s="41">
        <v>37</v>
      </c>
      <c r="B7" s="33">
        <f t="shared" si="2"/>
        <v>1258.7200053541669</v>
      </c>
      <c r="C7" s="91">
        <f t="shared" si="3"/>
        <v>1312.6741071428573</v>
      </c>
      <c r="D7" s="85">
        <f t="shared" si="4"/>
        <v>427.93175892857153</v>
      </c>
      <c r="E7" s="41">
        <v>37</v>
      </c>
      <c r="F7" s="33">
        <f t="shared" si="0"/>
        <v>2751.1316119947915</v>
      </c>
      <c r="G7" s="35">
        <f t="shared" si="1"/>
        <v>896.86890551030206</v>
      </c>
      <c r="I7" s="62"/>
      <c r="J7" s="65"/>
      <c r="K7" s="63"/>
      <c r="L7" s="64"/>
      <c r="M7" s="63"/>
    </row>
    <row r="8" spans="1:13" ht="14.25" customHeight="1" x14ac:dyDescent="0.2">
      <c r="A8" s="41">
        <v>36</v>
      </c>
      <c r="B8" s="33">
        <f t="shared" si="2"/>
        <v>1224.7005457500004</v>
      </c>
      <c r="C8" s="91">
        <f t="shared" si="3"/>
        <v>1277.1964285714284</v>
      </c>
      <c r="D8" s="85">
        <f t="shared" si="4"/>
        <v>416.36603571428572</v>
      </c>
      <c r="E8" s="41">
        <v>36</v>
      </c>
      <c r="F8" s="33">
        <f t="shared" si="0"/>
        <v>2676.7767035624997</v>
      </c>
      <c r="G8" s="35">
        <f t="shared" si="1"/>
        <v>872.62920536137494</v>
      </c>
      <c r="I8" s="143" t="s">
        <v>54</v>
      </c>
      <c r="J8" s="143"/>
      <c r="K8" s="144"/>
      <c r="L8" s="147">
        <v>1360.78</v>
      </c>
      <c r="M8" s="63"/>
    </row>
    <row r="9" spans="1:13" ht="15" thickBot="1" x14ac:dyDescent="0.25">
      <c r="A9" s="41">
        <v>35</v>
      </c>
      <c r="B9" s="33">
        <f t="shared" si="2"/>
        <v>1190.6810861458337</v>
      </c>
      <c r="C9" s="91">
        <f t="shared" si="3"/>
        <v>1241.71875</v>
      </c>
      <c r="D9" s="85">
        <f t="shared" si="4"/>
        <v>404.80031250000002</v>
      </c>
      <c r="E9" s="41">
        <v>35</v>
      </c>
      <c r="F9" s="33">
        <f t="shared" si="0"/>
        <v>2602.421795130208</v>
      </c>
      <c r="G9" s="35">
        <f t="shared" si="1"/>
        <v>848.38950521244783</v>
      </c>
      <c r="I9" s="143"/>
      <c r="J9" s="143"/>
      <c r="K9" s="144"/>
      <c r="L9" s="148"/>
      <c r="M9" s="63"/>
    </row>
    <row r="10" spans="1:13" ht="15" thickBot="1" x14ac:dyDescent="0.25">
      <c r="A10" s="41">
        <v>34</v>
      </c>
      <c r="B10" s="33">
        <f t="shared" si="2"/>
        <v>1156.6616265416669</v>
      </c>
      <c r="C10" s="91">
        <f t="shared" si="3"/>
        <v>1206.2410714285716</v>
      </c>
      <c r="D10" s="85">
        <f t="shared" si="4"/>
        <v>393.23458928571432</v>
      </c>
      <c r="E10" s="41">
        <v>34</v>
      </c>
      <c r="F10" s="33">
        <f t="shared" si="0"/>
        <v>2528.0668866979167</v>
      </c>
      <c r="G10" s="35">
        <f t="shared" si="1"/>
        <v>824.14980506352094</v>
      </c>
      <c r="I10" s="66"/>
      <c r="J10" s="67"/>
      <c r="K10" s="68"/>
      <c r="L10" s="69"/>
      <c r="M10" s="63"/>
    </row>
    <row r="11" spans="1:13" ht="14.25" customHeight="1" x14ac:dyDescent="0.2">
      <c r="A11" s="41">
        <v>33</v>
      </c>
      <c r="B11" s="33">
        <f t="shared" si="2"/>
        <v>1122.6421669375002</v>
      </c>
      <c r="C11" s="91">
        <f t="shared" si="3"/>
        <v>1170.7633928571427</v>
      </c>
      <c r="D11" s="85">
        <f t="shared" si="4"/>
        <v>381.66886607142851</v>
      </c>
      <c r="E11" s="41">
        <v>33</v>
      </c>
      <c r="F11" s="33">
        <f t="shared" si="0"/>
        <v>2453.711978265625</v>
      </c>
      <c r="G11" s="35">
        <f t="shared" si="1"/>
        <v>799.91010491459383</v>
      </c>
      <c r="I11" s="128" t="s">
        <v>55</v>
      </c>
      <c r="J11" s="129"/>
      <c r="K11" s="129"/>
      <c r="L11" s="130"/>
      <c r="M11" s="63"/>
    </row>
    <row r="12" spans="1:13" ht="15" thickBot="1" x14ac:dyDescent="0.25">
      <c r="A12" s="41">
        <v>32</v>
      </c>
      <c r="B12" s="33">
        <f t="shared" si="2"/>
        <v>1088.6227073333334</v>
      </c>
      <c r="C12" s="91">
        <f t="shared" si="3"/>
        <v>1135.2857142857142</v>
      </c>
      <c r="D12" s="85">
        <f t="shared" si="4"/>
        <v>370.10314285714287</v>
      </c>
      <c r="E12" s="41">
        <v>32</v>
      </c>
      <c r="F12" s="33">
        <f t="shared" si="0"/>
        <v>2379.3570698333333</v>
      </c>
      <c r="G12" s="35">
        <f t="shared" si="1"/>
        <v>775.67040476566672</v>
      </c>
      <c r="I12" s="131"/>
      <c r="J12" s="132"/>
      <c r="K12" s="132"/>
      <c r="L12" s="133"/>
      <c r="M12" s="63"/>
    </row>
    <row r="13" spans="1:13" ht="15" thickBot="1" x14ac:dyDescent="0.25">
      <c r="A13" s="41">
        <v>31</v>
      </c>
      <c r="B13" s="33">
        <f t="shared" si="2"/>
        <v>1054.6032477291669</v>
      </c>
      <c r="C13" s="91">
        <f t="shared" si="3"/>
        <v>1099.8080357142858</v>
      </c>
      <c r="D13" s="85">
        <f t="shared" si="4"/>
        <v>358.53741964285717</v>
      </c>
      <c r="E13" s="41">
        <v>31</v>
      </c>
      <c r="F13" s="33">
        <f t="shared" si="0"/>
        <v>2305.0021614010416</v>
      </c>
      <c r="G13" s="35">
        <f t="shared" si="1"/>
        <v>751.4307046167396</v>
      </c>
      <c r="I13" s="70"/>
      <c r="J13" s="71" t="s">
        <v>56</v>
      </c>
      <c r="K13" s="72" t="s">
        <v>57</v>
      </c>
      <c r="L13" s="73" t="s">
        <v>58</v>
      </c>
      <c r="M13" s="63"/>
    </row>
    <row r="14" spans="1:13" ht="14.25" customHeight="1" x14ac:dyDescent="0.2">
      <c r="A14" s="41">
        <v>30</v>
      </c>
      <c r="B14" s="33">
        <f t="shared" si="2"/>
        <v>1020.5837881250002</v>
      </c>
      <c r="C14" s="91">
        <f t="shared" si="3"/>
        <v>1064.3303571428571</v>
      </c>
      <c r="D14" s="85">
        <f t="shared" si="4"/>
        <v>346.97169642857142</v>
      </c>
      <c r="E14" s="41">
        <v>30</v>
      </c>
      <c r="F14" s="33">
        <f t="shared" si="0"/>
        <v>2230.6472529687499</v>
      </c>
      <c r="G14" s="35">
        <f t="shared" si="1"/>
        <v>727.19100446781249</v>
      </c>
      <c r="I14" s="154" t="s">
        <v>59</v>
      </c>
      <c r="J14" s="120">
        <f>IF(L8&gt;=J4,L8,J4)</f>
        <v>1466.4</v>
      </c>
      <c r="K14" s="122">
        <v>23.6</v>
      </c>
      <c r="L14" s="156">
        <f>J14*K14%</f>
        <v>346.07040000000006</v>
      </c>
      <c r="M14" s="63"/>
    </row>
    <row r="15" spans="1:13" ht="15" thickBot="1" x14ac:dyDescent="0.25">
      <c r="A15" s="41">
        <v>29</v>
      </c>
      <c r="B15" s="33">
        <f t="shared" si="2"/>
        <v>986.56432852083344</v>
      </c>
      <c r="C15" s="91">
        <f t="shared" si="3"/>
        <v>1028.8526785714287</v>
      </c>
      <c r="D15" s="85">
        <f t="shared" si="4"/>
        <v>335.40597321428578</v>
      </c>
      <c r="E15" s="41">
        <v>29</v>
      </c>
      <c r="F15" s="33">
        <f t="shared" si="0"/>
        <v>2156.2923445364586</v>
      </c>
      <c r="G15" s="35">
        <f t="shared" si="1"/>
        <v>702.95130431888549</v>
      </c>
      <c r="I15" s="155"/>
      <c r="J15" s="121"/>
      <c r="K15" s="123"/>
      <c r="L15" s="157"/>
      <c r="M15" s="63"/>
    </row>
    <row r="16" spans="1:13" ht="14.25" customHeight="1" x14ac:dyDescent="0.2">
      <c r="A16" s="41">
        <v>28</v>
      </c>
      <c r="B16" s="33">
        <f t="shared" si="2"/>
        <v>952.5448689166667</v>
      </c>
      <c r="C16" s="91">
        <f t="shared" si="3"/>
        <v>993.375</v>
      </c>
      <c r="D16" s="85">
        <f t="shared" si="4"/>
        <v>323.84025000000003</v>
      </c>
      <c r="E16" s="41">
        <v>28</v>
      </c>
      <c r="F16" s="33">
        <f t="shared" si="0"/>
        <v>2081.9374361041669</v>
      </c>
      <c r="G16" s="35">
        <f t="shared" si="1"/>
        <v>678.71160416995838</v>
      </c>
      <c r="I16" s="149" t="s">
        <v>60</v>
      </c>
      <c r="J16" s="120">
        <f>IF(L8&gt;=L4,L8,L4)</f>
        <v>1360.78</v>
      </c>
      <c r="K16" s="122">
        <v>9</v>
      </c>
      <c r="L16" s="140">
        <f>J16*K16%</f>
        <v>122.47019999999999</v>
      </c>
      <c r="M16" s="63"/>
    </row>
    <row r="17" spans="1:13" ht="15" thickBot="1" x14ac:dyDescent="0.25">
      <c r="A17" s="41">
        <v>27</v>
      </c>
      <c r="B17" s="33">
        <f t="shared" si="2"/>
        <v>918.52540931250019</v>
      </c>
      <c r="C17" s="91">
        <f t="shared" si="3"/>
        <v>957.89732142857133</v>
      </c>
      <c r="D17" s="85">
        <f t="shared" si="4"/>
        <v>312.27452678571427</v>
      </c>
      <c r="E17" s="41">
        <v>27</v>
      </c>
      <c r="F17" s="33">
        <f t="shared" si="0"/>
        <v>2007.5825276718751</v>
      </c>
      <c r="G17" s="35">
        <f t="shared" si="1"/>
        <v>654.47190402103126</v>
      </c>
      <c r="I17" s="150"/>
      <c r="J17" s="121"/>
      <c r="K17" s="123">
        <v>0.2</v>
      </c>
      <c r="L17" s="151"/>
      <c r="M17" s="63"/>
    </row>
    <row r="18" spans="1:13" ht="15" customHeight="1" thickBot="1" x14ac:dyDescent="0.25">
      <c r="A18" s="41">
        <v>26</v>
      </c>
      <c r="B18" s="33">
        <f t="shared" si="2"/>
        <v>884.50594970833356</v>
      </c>
      <c r="C18" s="91">
        <f t="shared" si="3"/>
        <v>922.41964285714289</v>
      </c>
      <c r="D18" s="85">
        <f t="shared" si="4"/>
        <v>300.70880357142858</v>
      </c>
      <c r="E18" s="41">
        <v>26</v>
      </c>
      <c r="F18" s="33">
        <f t="shared" si="0"/>
        <v>1933.2276192395832</v>
      </c>
      <c r="G18" s="35">
        <f t="shared" si="1"/>
        <v>630.23220387210415</v>
      </c>
      <c r="I18" s="152" t="s">
        <v>61</v>
      </c>
      <c r="J18" s="153"/>
      <c r="K18" s="74">
        <f>(K14+K16)</f>
        <v>32.6</v>
      </c>
      <c r="L18" s="75">
        <f>SUM(L14:L17)</f>
        <v>468.54060000000004</v>
      </c>
      <c r="M18" s="63"/>
    </row>
    <row r="19" spans="1:13" x14ac:dyDescent="0.2">
      <c r="A19" s="41">
        <v>25</v>
      </c>
      <c r="B19" s="33">
        <f t="shared" si="2"/>
        <v>850.48649010416682</v>
      </c>
      <c r="C19" s="91">
        <f t="shared" si="3"/>
        <v>886.94196428571422</v>
      </c>
      <c r="D19" s="85">
        <f t="shared" si="4"/>
        <v>289.14308035714282</v>
      </c>
      <c r="E19" s="41">
        <v>25</v>
      </c>
      <c r="F19" s="33">
        <f t="shared" si="0"/>
        <v>1858.8727108072915</v>
      </c>
      <c r="G19" s="35">
        <f t="shared" si="1"/>
        <v>605.99250372317704</v>
      </c>
      <c r="I19" s="76"/>
      <c r="J19" s="77"/>
      <c r="K19" s="78"/>
      <c r="L19" s="79"/>
      <c r="M19" s="63"/>
    </row>
    <row r="20" spans="1:13" ht="14.25" customHeight="1" x14ac:dyDescent="0.2">
      <c r="A20" s="41">
        <v>24</v>
      </c>
      <c r="B20" s="33">
        <f t="shared" si="2"/>
        <v>816.46703050000019</v>
      </c>
      <c r="C20" s="91">
        <f t="shared" si="3"/>
        <v>851.46428571428578</v>
      </c>
      <c r="D20" s="85">
        <f t="shared" si="4"/>
        <v>277.57735714285718</v>
      </c>
      <c r="E20" s="41">
        <v>24</v>
      </c>
      <c r="F20" s="33">
        <f t="shared" si="0"/>
        <v>1784.517802375</v>
      </c>
      <c r="G20" s="35">
        <f t="shared" si="1"/>
        <v>581.75280357425004</v>
      </c>
      <c r="I20" s="142" t="s">
        <v>62</v>
      </c>
      <c r="J20" s="142"/>
      <c r="K20" s="142"/>
      <c r="L20" s="142"/>
      <c r="M20" s="142"/>
    </row>
    <row r="21" spans="1:13" x14ac:dyDescent="0.2">
      <c r="A21" s="41">
        <v>23</v>
      </c>
      <c r="B21" s="33">
        <f t="shared" si="2"/>
        <v>782.44757089583345</v>
      </c>
      <c r="C21" s="91">
        <f t="shared" si="3"/>
        <v>815.98660714285711</v>
      </c>
      <c r="D21" s="85">
        <f t="shared" si="4"/>
        <v>266.01163392857143</v>
      </c>
      <c r="E21" s="41">
        <v>23</v>
      </c>
      <c r="F21" s="33">
        <f t="shared" si="0"/>
        <v>1710.1628939427083</v>
      </c>
      <c r="G21" s="35">
        <f t="shared" si="1"/>
        <v>557.51310342532292</v>
      </c>
      <c r="I21" s="142"/>
      <c r="J21" s="142"/>
      <c r="K21" s="142"/>
      <c r="L21" s="142"/>
      <c r="M21" s="142"/>
    </row>
    <row r="22" spans="1:13" ht="15" thickBot="1" x14ac:dyDescent="0.25">
      <c r="A22" s="41">
        <v>22</v>
      </c>
      <c r="B22" s="33">
        <f t="shared" si="2"/>
        <v>748.42811129166671</v>
      </c>
      <c r="C22" s="91">
        <f t="shared" si="3"/>
        <v>780.50892857142867</v>
      </c>
      <c r="D22" s="85">
        <f t="shared" si="4"/>
        <v>254.44591071428576</v>
      </c>
      <c r="E22" s="41">
        <v>22</v>
      </c>
      <c r="F22" s="33">
        <f t="shared" si="0"/>
        <v>1635.8079855104165</v>
      </c>
      <c r="G22" s="35">
        <f t="shared" si="1"/>
        <v>533.27340327639581</v>
      </c>
      <c r="I22" s="62"/>
      <c r="J22" s="65"/>
      <c r="K22" s="63"/>
      <c r="L22" s="64"/>
      <c r="M22" s="63"/>
    </row>
    <row r="23" spans="1:13" ht="14.25" customHeight="1" x14ac:dyDescent="0.2">
      <c r="A23" s="41">
        <v>21</v>
      </c>
      <c r="B23" s="33">
        <f t="shared" si="2"/>
        <v>714.4086516875002</v>
      </c>
      <c r="C23" s="91">
        <f t="shared" si="3"/>
        <v>745.03125</v>
      </c>
      <c r="D23" s="85">
        <f t="shared" si="4"/>
        <v>242.88018750000001</v>
      </c>
      <c r="E23" s="41">
        <v>21</v>
      </c>
      <c r="F23" s="33">
        <f t="shared" si="0"/>
        <v>1561.453077078125</v>
      </c>
      <c r="G23" s="35">
        <f t="shared" si="1"/>
        <v>509.03370312746875</v>
      </c>
      <c r="I23" s="143" t="s">
        <v>63</v>
      </c>
      <c r="J23" s="143"/>
      <c r="K23" s="144"/>
      <c r="L23" s="145">
        <v>0</v>
      </c>
      <c r="M23" s="63"/>
    </row>
    <row r="24" spans="1:13" ht="15" thickBot="1" x14ac:dyDescent="0.25">
      <c r="A24" s="41">
        <v>20</v>
      </c>
      <c r="B24" s="33">
        <f t="shared" si="2"/>
        <v>680.38919208333346</v>
      </c>
      <c r="C24" s="91">
        <f t="shared" si="3"/>
        <v>709.55357142857133</v>
      </c>
      <c r="D24" s="85">
        <f t="shared" si="4"/>
        <v>231.31446428571425</v>
      </c>
      <c r="E24" s="41">
        <v>20</v>
      </c>
      <c r="F24" s="33">
        <f t="shared" si="0"/>
        <v>1487.0981686458333</v>
      </c>
      <c r="G24" s="35">
        <f t="shared" si="1"/>
        <v>484.7940029785417</v>
      </c>
      <c r="I24" s="143"/>
      <c r="J24" s="143"/>
      <c r="K24" s="144"/>
      <c r="L24" s="146"/>
      <c r="M24" s="63"/>
    </row>
    <row r="25" spans="1:13" ht="15" thickBot="1" x14ac:dyDescent="0.25">
      <c r="A25" s="41">
        <v>19</v>
      </c>
      <c r="B25" s="33">
        <f t="shared" si="2"/>
        <v>646.36973247916671</v>
      </c>
      <c r="C25" s="91">
        <f t="shared" si="3"/>
        <v>674.07589285714289</v>
      </c>
      <c r="D25" s="85">
        <f t="shared" si="4"/>
        <v>219.74874107142858</v>
      </c>
      <c r="E25" s="41">
        <v>19</v>
      </c>
      <c r="F25" s="33">
        <f t="shared" si="0"/>
        <v>1412.7432602135418</v>
      </c>
      <c r="G25" s="35">
        <f t="shared" si="1"/>
        <v>460.55430282961464</v>
      </c>
      <c r="I25" s="62"/>
      <c r="J25" s="65"/>
      <c r="K25" s="63"/>
      <c r="L25" s="64"/>
      <c r="M25" s="63"/>
    </row>
    <row r="26" spans="1:13" ht="14.25" customHeight="1" x14ac:dyDescent="0.2">
      <c r="A26" s="41">
        <v>18</v>
      </c>
      <c r="B26" s="33">
        <f t="shared" si="2"/>
        <v>612.3502728750002</v>
      </c>
      <c r="C26" s="91">
        <f t="shared" si="3"/>
        <v>638.59821428571422</v>
      </c>
      <c r="D26" s="85">
        <f t="shared" si="4"/>
        <v>208.18301785714286</v>
      </c>
      <c r="E26" s="41">
        <v>18</v>
      </c>
      <c r="F26" s="33">
        <f t="shared" si="0"/>
        <v>1338.3883517812499</v>
      </c>
      <c r="G26" s="35">
        <f t="shared" si="1"/>
        <v>436.31460268068747</v>
      </c>
      <c r="I26" s="143" t="s">
        <v>64</v>
      </c>
      <c r="J26" s="143"/>
      <c r="K26" s="144"/>
      <c r="L26" s="147">
        <v>0</v>
      </c>
      <c r="M26" s="63"/>
    </row>
    <row r="27" spans="1:13" ht="15" thickBot="1" x14ac:dyDescent="0.25">
      <c r="A27" s="41">
        <v>17</v>
      </c>
      <c r="B27" s="33">
        <f t="shared" si="2"/>
        <v>578.33081327083346</v>
      </c>
      <c r="C27" s="91">
        <f t="shared" si="3"/>
        <v>603.12053571428578</v>
      </c>
      <c r="D27" s="85">
        <f t="shared" si="4"/>
        <v>196.61729464285716</v>
      </c>
      <c r="E27" s="41">
        <v>17</v>
      </c>
      <c r="F27" s="33">
        <f t="shared" si="0"/>
        <v>1264.0334433489584</v>
      </c>
      <c r="G27" s="35">
        <f t="shared" si="1"/>
        <v>412.07490253176047</v>
      </c>
      <c r="I27" s="143"/>
      <c r="J27" s="143"/>
      <c r="K27" s="144"/>
      <c r="L27" s="148"/>
      <c r="M27" s="63"/>
    </row>
    <row r="28" spans="1:13" ht="15" thickBot="1" x14ac:dyDescent="0.25">
      <c r="A28" s="41">
        <v>16</v>
      </c>
      <c r="B28" s="33">
        <f t="shared" si="2"/>
        <v>544.31135366666672</v>
      </c>
      <c r="C28" s="91">
        <f t="shared" si="3"/>
        <v>567.64285714285711</v>
      </c>
      <c r="D28" s="85">
        <f t="shared" si="4"/>
        <v>185.05157142857144</v>
      </c>
      <c r="E28" s="41">
        <v>16</v>
      </c>
      <c r="F28" s="33">
        <f t="shared" si="0"/>
        <v>1189.6785349166666</v>
      </c>
      <c r="G28" s="35">
        <f t="shared" si="1"/>
        <v>387.83520238283336</v>
      </c>
      <c r="I28" s="62"/>
      <c r="J28" s="65"/>
      <c r="K28" s="63"/>
      <c r="L28" s="64"/>
      <c r="M28" s="63"/>
    </row>
    <row r="29" spans="1:13" ht="14.25" customHeight="1" x14ac:dyDescent="0.2">
      <c r="A29" s="41">
        <v>15</v>
      </c>
      <c r="B29" s="33">
        <f t="shared" si="2"/>
        <v>510.29189406250009</v>
      </c>
      <c r="C29" s="91">
        <f t="shared" si="3"/>
        <v>532.16517857142856</v>
      </c>
      <c r="D29" s="85">
        <f t="shared" si="4"/>
        <v>173.48584821428571</v>
      </c>
      <c r="E29" s="41">
        <v>15</v>
      </c>
      <c r="F29" s="33">
        <f t="shared" si="0"/>
        <v>1115.3236264843749</v>
      </c>
      <c r="G29" s="35">
        <f t="shared" si="1"/>
        <v>363.59550223390625</v>
      </c>
      <c r="I29" s="128" t="s">
        <v>65</v>
      </c>
      <c r="J29" s="129"/>
      <c r="K29" s="129"/>
      <c r="L29" s="130"/>
      <c r="M29" s="63"/>
    </row>
    <row r="30" spans="1:13" ht="15" thickBot="1" x14ac:dyDescent="0.25">
      <c r="A30" s="41">
        <v>14</v>
      </c>
      <c r="B30" s="33">
        <f t="shared" si="2"/>
        <v>476.27243445833335</v>
      </c>
      <c r="C30" s="91">
        <f t="shared" si="3"/>
        <v>496.6875</v>
      </c>
      <c r="D30" s="85">
        <f t="shared" si="4"/>
        <v>161.92012500000001</v>
      </c>
      <c r="E30" s="41">
        <v>14</v>
      </c>
      <c r="F30" s="33">
        <f t="shared" si="0"/>
        <v>1040.9687180520834</v>
      </c>
      <c r="G30" s="35">
        <f t="shared" si="1"/>
        <v>339.35580208497919</v>
      </c>
      <c r="I30" s="131"/>
      <c r="J30" s="132"/>
      <c r="K30" s="132"/>
      <c r="L30" s="133"/>
      <c r="M30" s="63"/>
    </row>
    <row r="31" spans="1:13" ht="15" thickBot="1" x14ac:dyDescent="0.25">
      <c r="A31" s="41">
        <v>13</v>
      </c>
      <c r="B31" s="33">
        <f t="shared" si="2"/>
        <v>442.25297485416678</v>
      </c>
      <c r="C31" s="91">
        <f t="shared" si="3"/>
        <v>461.20982142857144</v>
      </c>
      <c r="D31" s="85">
        <f t="shared" si="4"/>
        <v>150.35440178571429</v>
      </c>
      <c r="E31" s="41">
        <v>13</v>
      </c>
      <c r="F31" s="33">
        <f t="shared" si="0"/>
        <v>966.6138096197916</v>
      </c>
      <c r="G31" s="35">
        <f t="shared" si="1"/>
        <v>315.11610193605208</v>
      </c>
      <c r="I31" s="80" t="s">
        <v>66</v>
      </c>
      <c r="J31" s="81" t="s">
        <v>56</v>
      </c>
      <c r="K31" s="72" t="s">
        <v>67</v>
      </c>
      <c r="L31" s="73" t="s">
        <v>58</v>
      </c>
      <c r="M31" s="63"/>
    </row>
    <row r="32" spans="1:13" x14ac:dyDescent="0.2">
      <c r="A32" s="41">
        <v>12</v>
      </c>
      <c r="B32" s="33">
        <f t="shared" si="2"/>
        <v>408.2335152500001</v>
      </c>
      <c r="C32" s="91">
        <f t="shared" si="3"/>
        <v>425.73214285714289</v>
      </c>
      <c r="D32" s="85">
        <f t="shared" si="4"/>
        <v>138.78867857142859</v>
      </c>
      <c r="E32" s="41">
        <v>12</v>
      </c>
      <c r="F32" s="33">
        <f t="shared" si="0"/>
        <v>892.25890118749999</v>
      </c>
      <c r="G32" s="35">
        <f t="shared" si="1"/>
        <v>290.87640178712502</v>
      </c>
      <c r="I32" s="134">
        <f>(L23/40*7.5*5)/7*30*$C$46</f>
        <v>0</v>
      </c>
      <c r="J32" s="136">
        <f>IF(L26&lt;I32,I32,L26)</f>
        <v>0</v>
      </c>
      <c r="K32" s="138">
        <v>32.6</v>
      </c>
      <c r="L32" s="140">
        <f>J32*K32%</f>
        <v>0</v>
      </c>
      <c r="M32" s="63"/>
    </row>
    <row r="33" spans="1:13" ht="15" thickBot="1" x14ac:dyDescent="0.25">
      <c r="A33" s="41">
        <v>11</v>
      </c>
      <c r="B33" s="33">
        <f t="shared" si="2"/>
        <v>374.21405564583335</v>
      </c>
      <c r="C33" s="91">
        <f t="shared" si="3"/>
        <v>390.25446428571433</v>
      </c>
      <c r="D33" s="85">
        <f t="shared" si="4"/>
        <v>127.22295535714288</v>
      </c>
      <c r="E33" s="41">
        <v>11</v>
      </c>
      <c r="F33" s="33">
        <f t="shared" si="0"/>
        <v>817.90399275520826</v>
      </c>
      <c r="G33" s="35">
        <f t="shared" si="1"/>
        <v>266.63670163819791</v>
      </c>
      <c r="I33" s="135"/>
      <c r="J33" s="137"/>
      <c r="K33" s="139"/>
      <c r="L33" s="141"/>
      <c r="M33" s="63"/>
    </row>
    <row r="34" spans="1:13" ht="15" customHeight="1" thickBot="1" x14ac:dyDescent="0.25">
      <c r="A34" s="41">
        <v>10</v>
      </c>
      <c r="B34" s="33">
        <f t="shared" si="2"/>
        <v>340.19459604166673</v>
      </c>
      <c r="C34" s="91">
        <f t="shared" si="3"/>
        <v>354.77678571428567</v>
      </c>
      <c r="D34" s="85">
        <f t="shared" si="4"/>
        <v>115.65723214285713</v>
      </c>
      <c r="E34" s="41">
        <v>10</v>
      </c>
      <c r="F34" s="33">
        <f t="shared" si="0"/>
        <v>743.54908432291666</v>
      </c>
      <c r="G34" s="35">
        <f t="shared" si="1"/>
        <v>242.39700148927085</v>
      </c>
      <c r="I34" s="117" t="s">
        <v>68</v>
      </c>
      <c r="J34" s="118"/>
      <c r="K34" s="119"/>
      <c r="L34" s="75">
        <f>SUM(L32)</f>
        <v>0</v>
      </c>
      <c r="M34" s="63"/>
    </row>
    <row r="35" spans="1:13" x14ac:dyDescent="0.2">
      <c r="A35" s="41">
        <v>9</v>
      </c>
      <c r="B35" s="33">
        <f t="shared" si="2"/>
        <v>306.1751364375001</v>
      </c>
      <c r="C35" s="91">
        <f t="shared" si="3"/>
        <v>319.29910714285711</v>
      </c>
      <c r="D35" s="85">
        <f t="shared" si="4"/>
        <v>104.09150892857143</v>
      </c>
      <c r="E35" s="41">
        <v>9</v>
      </c>
      <c r="F35" s="33">
        <f t="shared" si="0"/>
        <v>669.19417589062493</v>
      </c>
      <c r="G35" s="35">
        <f t="shared" si="1"/>
        <v>218.15730134034374</v>
      </c>
      <c r="I35" s="62"/>
      <c r="J35" s="65"/>
      <c r="K35" s="63"/>
      <c r="L35" s="64"/>
      <c r="M35" s="63"/>
    </row>
    <row r="36" spans="1:13" ht="14.25" customHeight="1" x14ac:dyDescent="0.2">
      <c r="A36" s="41">
        <v>8</v>
      </c>
      <c r="B36" s="33">
        <f t="shared" si="2"/>
        <v>272.15567683333336</v>
      </c>
      <c r="C36" s="91">
        <f t="shared" si="3"/>
        <v>283.82142857142856</v>
      </c>
      <c r="D36" s="85">
        <f t="shared" si="4"/>
        <v>92.525785714285718</v>
      </c>
      <c r="E36" s="41">
        <v>8</v>
      </c>
      <c r="F36" s="33">
        <f t="shared" si="0"/>
        <v>594.83926745833332</v>
      </c>
      <c r="G36" s="35">
        <f t="shared" si="1"/>
        <v>193.91760119141668</v>
      </c>
      <c r="I36" s="124" t="s">
        <v>69</v>
      </c>
      <c r="J36" s="124"/>
      <c r="K36" s="124"/>
      <c r="L36" s="124"/>
      <c r="M36" s="125" t="s">
        <v>70</v>
      </c>
    </row>
    <row r="37" spans="1:13" x14ac:dyDescent="0.2">
      <c r="A37" s="41">
        <v>7</v>
      </c>
      <c r="B37" s="33">
        <f t="shared" si="2"/>
        <v>238.13621722916668</v>
      </c>
      <c r="C37" s="91">
        <f t="shared" si="3"/>
        <v>248.34375</v>
      </c>
      <c r="D37" s="85">
        <f t="shared" si="4"/>
        <v>80.960062500000006</v>
      </c>
      <c r="E37" s="41">
        <v>7</v>
      </c>
      <c r="F37" s="33">
        <f t="shared" si="0"/>
        <v>520.48435902604172</v>
      </c>
      <c r="G37" s="35">
        <f t="shared" si="1"/>
        <v>169.67790104248959</v>
      </c>
      <c r="I37" s="124"/>
      <c r="J37" s="124"/>
      <c r="K37" s="124"/>
      <c r="L37" s="124"/>
      <c r="M37" s="125"/>
    </row>
    <row r="38" spans="1:13" x14ac:dyDescent="0.2">
      <c r="A38" s="41">
        <v>6</v>
      </c>
      <c r="B38" s="33">
        <f t="shared" si="2"/>
        <v>204.11675762500005</v>
      </c>
      <c r="C38" s="91">
        <f t="shared" si="3"/>
        <v>212.86607142857144</v>
      </c>
      <c r="D38" s="85">
        <f t="shared" si="4"/>
        <v>69.394339285714295</v>
      </c>
      <c r="E38" s="41">
        <v>6</v>
      </c>
      <c r="F38" s="33">
        <f t="shared" si="0"/>
        <v>446.12945059374999</v>
      </c>
      <c r="G38" s="35">
        <f t="shared" si="1"/>
        <v>145.43820089356251</v>
      </c>
      <c r="I38" s="32"/>
    </row>
    <row r="39" spans="1:13" x14ac:dyDescent="0.2">
      <c r="A39" s="41">
        <v>5</v>
      </c>
      <c r="B39" s="33">
        <f t="shared" si="2"/>
        <v>170.09729802083336</v>
      </c>
      <c r="C39" s="91">
        <f t="shared" si="3"/>
        <v>177.38839285714283</v>
      </c>
      <c r="D39" s="85">
        <f t="shared" si="4"/>
        <v>57.828616071428563</v>
      </c>
      <c r="E39" s="41">
        <v>5</v>
      </c>
      <c r="F39" s="33">
        <f t="shared" si="0"/>
        <v>371.77454216145833</v>
      </c>
      <c r="G39" s="35">
        <f t="shared" si="1"/>
        <v>121.19850074463542</v>
      </c>
      <c r="I39" s="32"/>
    </row>
    <row r="40" spans="1:13" x14ac:dyDescent="0.2">
      <c r="A40" s="41">
        <v>4</v>
      </c>
      <c r="B40" s="33">
        <f t="shared" si="2"/>
        <v>136.07783841666668</v>
      </c>
      <c r="C40" s="91">
        <f t="shared" si="3"/>
        <v>141.91071428571428</v>
      </c>
      <c r="D40" s="85">
        <f t="shared" si="4"/>
        <v>46.262892857142859</v>
      </c>
      <c r="E40" s="41">
        <v>4</v>
      </c>
      <c r="F40" s="33">
        <f t="shared" si="0"/>
        <v>297.41963372916666</v>
      </c>
      <c r="G40" s="35">
        <f t="shared" si="1"/>
        <v>96.95880059570834</v>
      </c>
      <c r="I40" s="32"/>
    </row>
    <row r="41" spans="1:13" x14ac:dyDescent="0.2">
      <c r="A41" s="41">
        <v>3</v>
      </c>
      <c r="B41" s="33">
        <f t="shared" si="2"/>
        <v>102.05837881250002</v>
      </c>
      <c r="C41" s="91">
        <f t="shared" si="3"/>
        <v>106.43303571428572</v>
      </c>
      <c r="D41" s="85">
        <f t="shared" si="4"/>
        <v>34.697169642857148</v>
      </c>
      <c r="E41" s="41">
        <v>3</v>
      </c>
      <c r="F41" s="33">
        <f t="shared" si="0"/>
        <v>223.064725296875</v>
      </c>
      <c r="G41" s="35">
        <f t="shared" si="1"/>
        <v>72.719100446781255</v>
      </c>
      <c r="I41" s="32"/>
    </row>
    <row r="42" spans="1:13" x14ac:dyDescent="0.2">
      <c r="A42" s="41">
        <v>2</v>
      </c>
      <c r="B42" s="33">
        <f t="shared" si="2"/>
        <v>68.03891920833334</v>
      </c>
      <c r="C42" s="91">
        <f t="shared" si="3"/>
        <v>70.955357142857139</v>
      </c>
      <c r="D42" s="85">
        <f t="shared" si="4"/>
        <v>23.131446428571429</v>
      </c>
      <c r="E42" s="41">
        <v>2</v>
      </c>
      <c r="F42" s="33">
        <f t="shared" si="0"/>
        <v>148.70981686458333</v>
      </c>
      <c r="G42" s="35">
        <f t="shared" si="1"/>
        <v>48.47940029785417</v>
      </c>
      <c r="I42" s="32"/>
    </row>
    <row r="43" spans="1:13" ht="15" thickBot="1" x14ac:dyDescent="0.25">
      <c r="A43" s="88">
        <v>1</v>
      </c>
      <c r="B43" s="36">
        <f t="shared" si="2"/>
        <v>34.01945960416667</v>
      </c>
      <c r="C43" s="94">
        <f t="shared" si="3"/>
        <v>35.477678571428569</v>
      </c>
      <c r="D43" s="102">
        <f t="shared" si="4"/>
        <v>11.565723214285715</v>
      </c>
      <c r="E43" s="90">
        <v>1</v>
      </c>
      <c r="F43" s="36">
        <f t="shared" si="0"/>
        <v>74.354908432291666</v>
      </c>
      <c r="G43" s="37">
        <f t="shared" si="1"/>
        <v>24.239700148927085</v>
      </c>
      <c r="I43" s="32"/>
    </row>
    <row r="46" spans="1:13" s="54" customFormat="1" ht="57.75" hidden="1" thickBot="1" x14ac:dyDescent="0.25">
      <c r="A46" s="51"/>
      <c r="B46" s="52" t="s">
        <v>40</v>
      </c>
      <c r="C46" s="93">
        <v>8.83</v>
      </c>
      <c r="D46" s="51"/>
      <c r="E46" s="55"/>
      <c r="I46" s="56"/>
    </row>
  </sheetData>
  <sheetProtection algorithmName="SHA-512" hashValue="0nGfeioQITx9vGNdfQf1Wy74nN8RfPHqaUJEgO3iE67MfFGFtfzzJFokXwpjopQDV418K+rq6ORA9YORbRnDOg==" saltValue="sFYqC7x8zmBCnOnX1iXgcg==" spinCount="100000" sheet="1" objects="1" scenarios="1"/>
  <protectedRanges>
    <protectedRange sqref="L26" name="RET TP_1"/>
    <protectedRange sqref="L23" name="DED_1"/>
    <protectedRange sqref="L8" name="RET TC_1"/>
    <protectedRange sqref="M36" name="CALCULO RC_3"/>
  </protectedRanges>
  <mergeCells count="41">
    <mergeCell ref="F1:G1"/>
    <mergeCell ref="B1:D1"/>
    <mergeCell ref="I2:K2"/>
    <mergeCell ref="L2:M2"/>
    <mergeCell ref="I4:I5"/>
    <mergeCell ref="J4:J5"/>
    <mergeCell ref="K4:K5"/>
    <mergeCell ref="L4:L5"/>
    <mergeCell ref="M4:M5"/>
    <mergeCell ref="I8:K9"/>
    <mergeCell ref="L8:L9"/>
    <mergeCell ref="I11:L12"/>
    <mergeCell ref="I14:I15"/>
    <mergeCell ref="J14:J15"/>
    <mergeCell ref="K14:K15"/>
    <mergeCell ref="L14:L15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34:K34"/>
    <mergeCell ref="I36:L37"/>
    <mergeCell ref="M36:M37"/>
    <mergeCell ref="A2:A3"/>
    <mergeCell ref="B2:B3"/>
    <mergeCell ref="C2:C3"/>
    <mergeCell ref="D2:D3"/>
    <mergeCell ref="E2:E3"/>
    <mergeCell ref="F2:F3"/>
    <mergeCell ref="G2:G3"/>
    <mergeCell ref="I29:L30"/>
    <mergeCell ref="I32:I33"/>
    <mergeCell ref="J32:J33"/>
    <mergeCell ref="K32:K33"/>
    <mergeCell ref="L32:L33"/>
    <mergeCell ref="I20:M21"/>
  </mergeCells>
  <phoneticPr fontId="0" type="noConversion"/>
  <hyperlinks>
    <hyperlink ref="M36:M37" r:id="rId1" display="CALCULO RC"/>
  </hyperlinks>
  <pageMargins left="0.75" right="0.75" top="1" bottom="1" header="0" footer="0"/>
  <pageSetup paperSize="9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M35" sqref="M35:M36"/>
    </sheetView>
  </sheetViews>
  <sheetFormatPr baseColWidth="10" defaultColWidth="11.5703125" defaultRowHeight="14.25" x14ac:dyDescent="0.2"/>
  <cols>
    <col min="1" max="1" width="17.7109375" style="31" customWidth="1"/>
    <col min="2" max="2" width="16.5703125" style="31" bestFit="1" customWidth="1"/>
    <col min="3" max="3" width="18.28515625" style="38" hidden="1" customWidth="1"/>
    <col min="4" max="4" width="17.28515625" style="51" bestFit="1" customWidth="1"/>
    <col min="5" max="5" width="17" style="32" customWidth="1"/>
    <col min="6" max="6" width="16.5703125" style="32" bestFit="1" customWidth="1"/>
    <col min="7" max="7" width="17.28515625" style="31" bestFit="1" customWidth="1"/>
    <col min="8" max="8" width="11.5703125" style="32"/>
    <col min="9" max="9" width="26" style="39" customWidth="1"/>
    <col min="10" max="10" width="22.140625" style="32" customWidth="1"/>
    <col min="11" max="11" width="19.85546875" style="32" bestFit="1" customWidth="1"/>
    <col min="12" max="12" width="19.7109375" style="32" customWidth="1"/>
    <col min="13" max="13" width="20.28515625" style="32" customWidth="1"/>
    <col min="14" max="16384" width="11.5703125" style="32"/>
  </cols>
  <sheetData>
    <row r="1" spans="1:13" ht="23.45" customHeight="1" x14ac:dyDescent="0.3">
      <c r="A1" s="83"/>
      <c r="B1" s="158" t="s">
        <v>29</v>
      </c>
      <c r="C1" s="158"/>
      <c r="D1" s="159"/>
      <c r="E1" s="84"/>
      <c r="F1" s="158" t="s">
        <v>30</v>
      </c>
      <c r="G1" s="158"/>
      <c r="I1" s="160" t="s">
        <v>47</v>
      </c>
      <c r="J1" s="160"/>
      <c r="K1" s="160"/>
      <c r="L1" s="160" t="s">
        <v>48</v>
      </c>
      <c r="M1" s="160"/>
    </row>
    <row r="2" spans="1:13" ht="41.45" customHeight="1" x14ac:dyDescent="0.2">
      <c r="A2" s="111" t="s">
        <v>0</v>
      </c>
      <c r="B2" s="113" t="s">
        <v>72</v>
      </c>
      <c r="C2" s="164" t="s">
        <v>41</v>
      </c>
      <c r="D2" s="115" t="s">
        <v>71</v>
      </c>
      <c r="E2" s="111" t="s">
        <v>0</v>
      </c>
      <c r="F2" s="113" t="s">
        <v>72</v>
      </c>
      <c r="G2" s="115" t="s">
        <v>71</v>
      </c>
      <c r="I2" s="60" t="s">
        <v>49</v>
      </c>
      <c r="J2" s="60" t="s">
        <v>50</v>
      </c>
      <c r="K2" s="60" t="s">
        <v>51</v>
      </c>
      <c r="L2" s="61" t="s">
        <v>52</v>
      </c>
      <c r="M2" s="60" t="s">
        <v>53</v>
      </c>
    </row>
    <row r="3" spans="1:13" s="40" customFormat="1" ht="15" customHeight="1" thickBot="1" x14ac:dyDescent="0.25">
      <c r="A3" s="112"/>
      <c r="B3" s="114"/>
      <c r="C3" s="165"/>
      <c r="D3" s="116"/>
      <c r="E3" s="112"/>
      <c r="F3" s="114"/>
      <c r="G3" s="116"/>
      <c r="I3" s="161">
        <v>2</v>
      </c>
      <c r="J3" s="162">
        <v>1215.9000000000001</v>
      </c>
      <c r="K3" s="162">
        <v>4070.1</v>
      </c>
      <c r="L3" s="163">
        <v>1050</v>
      </c>
      <c r="M3" s="163">
        <v>4070.1</v>
      </c>
    </row>
    <row r="4" spans="1:13" x14ac:dyDescent="0.2">
      <c r="A4" s="41">
        <v>40</v>
      </c>
      <c r="B4" s="33">
        <f>PARAMETROS!B4</f>
        <v>1196.0013816666667</v>
      </c>
      <c r="C4" s="34"/>
      <c r="D4" s="98"/>
      <c r="E4" s="41">
        <v>40</v>
      </c>
      <c r="F4" s="33">
        <f>PARAMETROS!C4</f>
        <v>2432.8926039045832</v>
      </c>
      <c r="G4" s="100">
        <f>IF(F4&gt;$K$3,$K$3*$K$17%,F4*$K$17%)</f>
        <v>793.12298887289421</v>
      </c>
      <c r="I4" s="161"/>
      <c r="J4" s="162"/>
      <c r="K4" s="162"/>
      <c r="L4" s="163"/>
      <c r="M4" s="163"/>
    </row>
    <row r="5" spans="1:13" x14ac:dyDescent="0.2">
      <c r="A5" s="41">
        <v>39</v>
      </c>
      <c r="B5" s="33">
        <f>PRODUCT(B$4,A5)/A$4</f>
        <v>1166.1013471250001</v>
      </c>
      <c r="C5" s="34">
        <f>(A5/$A$4*7.5*5)/7*30*$C$46</f>
        <v>1147.0178571428571</v>
      </c>
      <c r="D5" s="98">
        <f>IF(B5&lt;C5,C5*$K$17%,B5*$K$17%)</f>
        <v>380.14903916275006</v>
      </c>
      <c r="E5" s="41">
        <v>39</v>
      </c>
      <c r="F5" s="33">
        <f>PRODUCT(F$4,E5)/E$4</f>
        <v>2372.0702888069686</v>
      </c>
      <c r="G5" s="100">
        <f t="shared" ref="G5:G43" si="0">IF(F5&gt;$K$3,$K$3*$K$17%,F5*$K$17%)</f>
        <v>773.29491415107179</v>
      </c>
      <c r="I5" s="62"/>
      <c r="J5" s="63"/>
      <c r="K5" s="63"/>
      <c r="L5" s="64"/>
      <c r="M5" s="63"/>
    </row>
    <row r="6" spans="1:13" ht="15" thickBot="1" x14ac:dyDescent="0.25">
      <c r="A6" s="41">
        <v>38</v>
      </c>
      <c r="B6" s="33">
        <f t="shared" ref="B6:B43" si="1">PRODUCT(B$4,A6)/A$4</f>
        <v>1136.2013125833332</v>
      </c>
      <c r="C6" s="34">
        <f t="shared" ref="C6:C43" si="2">(A6/$A$4*7.5*5)/7*30*$C$46</f>
        <v>1117.6071428571431</v>
      </c>
      <c r="D6" s="98">
        <f t="shared" ref="D6:D43" si="3">IF(B6&lt;C6,C6*$K$17%,B6*$K$17%)</f>
        <v>370.40162790216664</v>
      </c>
      <c r="E6" s="41">
        <v>38</v>
      </c>
      <c r="F6" s="33">
        <f t="shared" ref="F6:F43" si="4">PRODUCT(F$4,E6)/E$4</f>
        <v>2311.247973709354</v>
      </c>
      <c r="G6" s="100">
        <f t="shared" si="0"/>
        <v>753.46683942924949</v>
      </c>
      <c r="I6" s="62"/>
      <c r="J6" s="65"/>
      <c r="K6" s="63"/>
      <c r="L6" s="64"/>
      <c r="M6" s="63"/>
    </row>
    <row r="7" spans="1:13" x14ac:dyDescent="0.2">
      <c r="A7" s="41">
        <v>37</v>
      </c>
      <c r="B7" s="33">
        <f t="shared" si="1"/>
        <v>1106.3012780416668</v>
      </c>
      <c r="C7" s="34">
        <f t="shared" si="2"/>
        <v>1088.1964285714287</v>
      </c>
      <c r="D7" s="98">
        <f t="shared" si="3"/>
        <v>360.65421664158339</v>
      </c>
      <c r="E7" s="41">
        <v>37</v>
      </c>
      <c r="F7" s="33">
        <f t="shared" si="4"/>
        <v>2250.4256586117394</v>
      </c>
      <c r="G7" s="100">
        <f t="shared" si="0"/>
        <v>733.63876470742707</v>
      </c>
      <c r="I7" s="143" t="s">
        <v>54</v>
      </c>
      <c r="J7" s="143"/>
      <c r="K7" s="144"/>
      <c r="L7" s="147">
        <v>1196</v>
      </c>
      <c r="M7" s="63"/>
    </row>
    <row r="8" spans="1:13" ht="15" thickBot="1" x14ac:dyDescent="0.25">
      <c r="A8" s="41">
        <v>36</v>
      </c>
      <c r="B8" s="33">
        <f t="shared" si="1"/>
        <v>1076.4012435</v>
      </c>
      <c r="C8" s="34">
        <f t="shared" si="2"/>
        <v>1058.7857142857142</v>
      </c>
      <c r="D8" s="98">
        <f t="shared" si="3"/>
        <v>350.90680538100003</v>
      </c>
      <c r="E8" s="41">
        <v>36</v>
      </c>
      <c r="F8" s="33">
        <f t="shared" si="4"/>
        <v>2189.6033435141248</v>
      </c>
      <c r="G8" s="100">
        <f t="shared" si="0"/>
        <v>713.81068998560477</v>
      </c>
      <c r="I8" s="143"/>
      <c r="J8" s="143"/>
      <c r="K8" s="144"/>
      <c r="L8" s="148"/>
      <c r="M8" s="63"/>
    </row>
    <row r="9" spans="1:13" ht="15" thickBot="1" x14ac:dyDescent="0.25">
      <c r="A9" s="41">
        <v>35</v>
      </c>
      <c r="B9" s="33">
        <f t="shared" si="1"/>
        <v>1046.5012089583333</v>
      </c>
      <c r="C9" s="34">
        <f t="shared" si="2"/>
        <v>1029.375</v>
      </c>
      <c r="D9" s="98">
        <f t="shared" si="3"/>
        <v>341.15939412041666</v>
      </c>
      <c r="E9" s="41">
        <v>35</v>
      </c>
      <c r="F9" s="33">
        <f t="shared" si="4"/>
        <v>2128.7810284165103</v>
      </c>
      <c r="G9" s="100">
        <f t="shared" si="0"/>
        <v>693.98261526378235</v>
      </c>
      <c r="I9" s="66"/>
      <c r="J9" s="67"/>
      <c r="K9" s="68"/>
      <c r="L9" s="69"/>
      <c r="M9" s="63"/>
    </row>
    <row r="10" spans="1:13" x14ac:dyDescent="0.2">
      <c r="A10" s="41">
        <v>34</v>
      </c>
      <c r="B10" s="33">
        <f t="shared" si="1"/>
        <v>1016.6011744166666</v>
      </c>
      <c r="C10" s="34">
        <f t="shared" si="2"/>
        <v>999.96428571428578</v>
      </c>
      <c r="D10" s="98">
        <f t="shared" si="3"/>
        <v>331.4119828598333</v>
      </c>
      <c r="E10" s="41">
        <v>34</v>
      </c>
      <c r="F10" s="33">
        <f t="shared" si="4"/>
        <v>2067.9587133188957</v>
      </c>
      <c r="G10" s="100">
        <f t="shared" si="0"/>
        <v>674.15454054196005</v>
      </c>
      <c r="I10" s="128" t="s">
        <v>55</v>
      </c>
      <c r="J10" s="129"/>
      <c r="K10" s="129"/>
      <c r="L10" s="130"/>
      <c r="M10" s="63"/>
    </row>
    <row r="11" spans="1:13" ht="15" thickBot="1" x14ac:dyDescent="0.25">
      <c r="A11" s="41">
        <v>33</v>
      </c>
      <c r="B11" s="33">
        <f t="shared" si="1"/>
        <v>986.70113987500008</v>
      </c>
      <c r="C11" s="34">
        <f t="shared" si="2"/>
        <v>970.55357142857133</v>
      </c>
      <c r="D11" s="98">
        <f t="shared" si="3"/>
        <v>321.66457159925005</v>
      </c>
      <c r="E11" s="41">
        <v>33</v>
      </c>
      <c r="F11" s="33">
        <f t="shared" si="4"/>
        <v>2007.1363982212811</v>
      </c>
      <c r="G11" s="100">
        <f t="shared" si="0"/>
        <v>654.32646582013763</v>
      </c>
      <c r="I11" s="131"/>
      <c r="J11" s="132"/>
      <c r="K11" s="132"/>
      <c r="L11" s="133"/>
      <c r="M11" s="63"/>
    </row>
    <row r="12" spans="1:13" ht="15" thickBot="1" x14ac:dyDescent="0.25">
      <c r="A12" s="41">
        <v>32</v>
      </c>
      <c r="B12" s="33">
        <f t="shared" si="1"/>
        <v>956.80110533333334</v>
      </c>
      <c r="C12" s="34">
        <f t="shared" si="2"/>
        <v>941.14285714285711</v>
      </c>
      <c r="D12" s="98">
        <f t="shared" si="3"/>
        <v>311.91716033866669</v>
      </c>
      <c r="E12" s="41">
        <v>32</v>
      </c>
      <c r="F12" s="33">
        <f t="shared" si="4"/>
        <v>1946.3140831236665</v>
      </c>
      <c r="G12" s="100">
        <f t="shared" si="0"/>
        <v>634.49839109831532</v>
      </c>
      <c r="I12" s="70"/>
      <c r="J12" s="71" t="s">
        <v>56</v>
      </c>
      <c r="K12" s="72" t="s">
        <v>57</v>
      </c>
      <c r="L12" s="73" t="s">
        <v>58</v>
      </c>
      <c r="M12" s="63"/>
    </row>
    <row r="13" spans="1:13" x14ac:dyDescent="0.2">
      <c r="A13" s="41">
        <v>31</v>
      </c>
      <c r="B13" s="33">
        <f t="shared" si="1"/>
        <v>926.9010707916666</v>
      </c>
      <c r="C13" s="34">
        <f t="shared" si="2"/>
        <v>911.73214285714289</v>
      </c>
      <c r="D13" s="98">
        <f t="shared" si="3"/>
        <v>302.16974907808333</v>
      </c>
      <c r="E13" s="41">
        <v>31</v>
      </c>
      <c r="F13" s="33">
        <f t="shared" si="4"/>
        <v>1885.4917680260521</v>
      </c>
      <c r="G13" s="100">
        <f t="shared" si="0"/>
        <v>614.67031637649302</v>
      </c>
      <c r="I13" s="154" t="s">
        <v>59</v>
      </c>
      <c r="J13" s="120">
        <f>IF(L7&gt;=J3,L7,J3)</f>
        <v>1215.9000000000001</v>
      </c>
      <c r="K13" s="122">
        <v>23.6</v>
      </c>
      <c r="L13" s="156">
        <f>J13*K13%</f>
        <v>286.95240000000007</v>
      </c>
      <c r="M13" s="63"/>
    </row>
    <row r="14" spans="1:13" ht="15" thickBot="1" x14ac:dyDescent="0.25">
      <c r="A14" s="41">
        <v>30</v>
      </c>
      <c r="B14" s="33">
        <f t="shared" si="1"/>
        <v>897.00103625000008</v>
      </c>
      <c r="C14" s="34">
        <f t="shared" si="2"/>
        <v>882.32142857142867</v>
      </c>
      <c r="D14" s="98">
        <f t="shared" si="3"/>
        <v>292.42233781750002</v>
      </c>
      <c r="E14" s="41">
        <v>30</v>
      </c>
      <c r="F14" s="33">
        <f t="shared" si="4"/>
        <v>1824.6694529284373</v>
      </c>
      <c r="G14" s="100">
        <f t="shared" si="0"/>
        <v>594.8422416546706</v>
      </c>
      <c r="I14" s="155"/>
      <c r="J14" s="121"/>
      <c r="K14" s="123"/>
      <c r="L14" s="157"/>
      <c r="M14" s="63"/>
    </row>
    <row r="15" spans="1:13" x14ac:dyDescent="0.2">
      <c r="A15" s="41">
        <v>29</v>
      </c>
      <c r="B15" s="33">
        <f t="shared" si="1"/>
        <v>867.10100170833334</v>
      </c>
      <c r="C15" s="34">
        <f t="shared" si="2"/>
        <v>852.91071428571445</v>
      </c>
      <c r="D15" s="98">
        <f t="shared" si="3"/>
        <v>282.67492655691666</v>
      </c>
      <c r="E15" s="41">
        <v>29</v>
      </c>
      <c r="F15" s="33">
        <f t="shared" si="4"/>
        <v>1763.8471378308229</v>
      </c>
      <c r="G15" s="100">
        <f t="shared" si="0"/>
        <v>575.0141669328483</v>
      </c>
      <c r="I15" s="149" t="s">
        <v>60</v>
      </c>
      <c r="J15" s="120">
        <f>IF(L7&gt;=L3,L7,L3)</f>
        <v>1196</v>
      </c>
      <c r="K15" s="122">
        <v>9</v>
      </c>
      <c r="L15" s="140">
        <f>J15*K15%</f>
        <v>107.64</v>
      </c>
      <c r="M15" s="63"/>
    </row>
    <row r="16" spans="1:13" ht="15" thickBot="1" x14ac:dyDescent="0.25">
      <c r="A16" s="41">
        <v>28</v>
      </c>
      <c r="B16" s="33">
        <f t="shared" si="1"/>
        <v>837.20096716666671</v>
      </c>
      <c r="C16" s="34">
        <f t="shared" si="2"/>
        <v>823.5</v>
      </c>
      <c r="D16" s="98">
        <f t="shared" si="3"/>
        <v>272.92751529633335</v>
      </c>
      <c r="E16" s="41">
        <v>28</v>
      </c>
      <c r="F16" s="33">
        <f t="shared" si="4"/>
        <v>1703.0248227332081</v>
      </c>
      <c r="G16" s="100">
        <f t="shared" si="0"/>
        <v>555.18609221102588</v>
      </c>
      <c r="I16" s="150"/>
      <c r="J16" s="121"/>
      <c r="K16" s="123">
        <v>0.2</v>
      </c>
      <c r="L16" s="151"/>
      <c r="M16" s="63"/>
    </row>
    <row r="17" spans="1:13" ht="15" thickBot="1" x14ac:dyDescent="0.25">
      <c r="A17" s="41">
        <v>27</v>
      </c>
      <c r="B17" s="33">
        <f t="shared" si="1"/>
        <v>807.30093262500009</v>
      </c>
      <c r="C17" s="34">
        <f t="shared" si="2"/>
        <v>794.08928571428567</v>
      </c>
      <c r="D17" s="98">
        <f t="shared" si="3"/>
        <v>263.18010403575005</v>
      </c>
      <c r="E17" s="41">
        <v>27</v>
      </c>
      <c r="F17" s="33">
        <f t="shared" si="4"/>
        <v>1642.2025076355937</v>
      </c>
      <c r="G17" s="100">
        <f t="shared" si="0"/>
        <v>535.35801748920358</v>
      </c>
      <c r="I17" s="152" t="s">
        <v>61</v>
      </c>
      <c r="J17" s="153"/>
      <c r="K17" s="74">
        <f>(K13+K15)</f>
        <v>32.6</v>
      </c>
      <c r="L17" s="75">
        <f>SUM(L13:L16)</f>
        <v>394.59240000000005</v>
      </c>
      <c r="M17" s="63"/>
    </row>
    <row r="18" spans="1:13" x14ac:dyDescent="0.2">
      <c r="A18" s="41">
        <v>26</v>
      </c>
      <c r="B18" s="33">
        <f t="shared" si="1"/>
        <v>777.40089808333335</v>
      </c>
      <c r="C18" s="34">
        <f t="shared" si="2"/>
        <v>764.67857142857156</v>
      </c>
      <c r="D18" s="98">
        <f t="shared" si="3"/>
        <v>253.43269277516669</v>
      </c>
      <c r="E18" s="41">
        <v>26</v>
      </c>
      <c r="F18" s="33">
        <f t="shared" si="4"/>
        <v>1581.3801925379789</v>
      </c>
      <c r="G18" s="100">
        <f t="shared" si="0"/>
        <v>515.52994276738116</v>
      </c>
      <c r="I18" s="76"/>
      <c r="J18" s="77"/>
      <c r="K18" s="78"/>
      <c r="L18" s="79"/>
      <c r="M18" s="63"/>
    </row>
    <row r="19" spans="1:13" x14ac:dyDescent="0.2">
      <c r="A19" s="41">
        <v>25</v>
      </c>
      <c r="B19" s="33">
        <f t="shared" si="1"/>
        <v>747.50086354166672</v>
      </c>
      <c r="C19" s="34">
        <f t="shared" si="2"/>
        <v>735.26785714285711</v>
      </c>
      <c r="D19" s="98">
        <f t="shared" si="3"/>
        <v>243.68528151458335</v>
      </c>
      <c r="E19" s="41">
        <v>25</v>
      </c>
      <c r="F19" s="33">
        <f t="shared" si="4"/>
        <v>1520.5578774403643</v>
      </c>
      <c r="G19" s="100">
        <f t="shared" si="0"/>
        <v>495.7018680455588</v>
      </c>
      <c r="I19" s="142" t="s">
        <v>62</v>
      </c>
      <c r="J19" s="142"/>
      <c r="K19" s="142"/>
      <c r="L19" s="142"/>
      <c r="M19" s="142"/>
    </row>
    <row r="20" spans="1:13" x14ac:dyDescent="0.2">
      <c r="A20" s="41">
        <v>24</v>
      </c>
      <c r="B20" s="33">
        <f t="shared" si="1"/>
        <v>717.60082899999998</v>
      </c>
      <c r="C20" s="34">
        <f t="shared" si="2"/>
        <v>705.85714285714289</v>
      </c>
      <c r="D20" s="98">
        <f t="shared" si="3"/>
        <v>233.93787025399999</v>
      </c>
      <c r="E20" s="41">
        <v>24</v>
      </c>
      <c r="F20" s="33">
        <f t="shared" si="4"/>
        <v>1459.7355623427497</v>
      </c>
      <c r="G20" s="100">
        <f t="shared" si="0"/>
        <v>475.87379332373644</v>
      </c>
      <c r="I20" s="142"/>
      <c r="J20" s="142"/>
      <c r="K20" s="142"/>
      <c r="L20" s="142"/>
      <c r="M20" s="142"/>
    </row>
    <row r="21" spans="1:13" ht="15" thickBot="1" x14ac:dyDescent="0.25">
      <c r="A21" s="41">
        <v>23</v>
      </c>
      <c r="B21" s="33">
        <f t="shared" si="1"/>
        <v>687.70079445833335</v>
      </c>
      <c r="C21" s="34">
        <f t="shared" si="2"/>
        <v>676.44642857142856</v>
      </c>
      <c r="D21" s="98">
        <f t="shared" si="3"/>
        <v>224.19045899341668</v>
      </c>
      <c r="E21" s="41">
        <v>23</v>
      </c>
      <c r="F21" s="33">
        <f t="shared" si="4"/>
        <v>1398.9132472451354</v>
      </c>
      <c r="G21" s="100">
        <f t="shared" si="0"/>
        <v>456.04571860191413</v>
      </c>
      <c r="I21" s="62"/>
      <c r="J21" s="65"/>
      <c r="K21" s="63"/>
      <c r="L21" s="64"/>
      <c r="M21" s="63"/>
    </row>
    <row r="22" spans="1:13" x14ac:dyDescent="0.2">
      <c r="A22" s="41">
        <v>22</v>
      </c>
      <c r="B22" s="33">
        <f t="shared" si="1"/>
        <v>657.80075991666672</v>
      </c>
      <c r="C22" s="34">
        <f t="shared" si="2"/>
        <v>647.03571428571433</v>
      </c>
      <c r="D22" s="98">
        <f t="shared" si="3"/>
        <v>214.44304773283335</v>
      </c>
      <c r="E22" s="41">
        <v>22</v>
      </c>
      <c r="F22" s="33">
        <f t="shared" si="4"/>
        <v>1338.0909321475208</v>
      </c>
      <c r="G22" s="100">
        <f t="shared" si="0"/>
        <v>436.21764388009177</v>
      </c>
      <c r="I22" s="143" t="s">
        <v>63</v>
      </c>
      <c r="J22" s="143"/>
      <c r="K22" s="144"/>
      <c r="L22" s="145">
        <v>0</v>
      </c>
      <c r="M22" s="63"/>
    </row>
    <row r="23" spans="1:13" ht="15" thickBot="1" x14ac:dyDescent="0.25">
      <c r="A23" s="41">
        <v>21</v>
      </c>
      <c r="B23" s="33">
        <f t="shared" si="1"/>
        <v>627.90072537499998</v>
      </c>
      <c r="C23" s="34">
        <f t="shared" si="2"/>
        <v>617.625</v>
      </c>
      <c r="D23" s="98">
        <f t="shared" si="3"/>
        <v>204.69563647224999</v>
      </c>
      <c r="E23" s="41">
        <v>21</v>
      </c>
      <c r="F23" s="33">
        <f t="shared" si="4"/>
        <v>1277.2686170499062</v>
      </c>
      <c r="G23" s="100">
        <f t="shared" si="0"/>
        <v>416.38956915826941</v>
      </c>
      <c r="I23" s="143"/>
      <c r="J23" s="143"/>
      <c r="K23" s="144"/>
      <c r="L23" s="146"/>
      <c r="M23" s="63"/>
    </row>
    <row r="24" spans="1:13" ht="15" thickBot="1" x14ac:dyDescent="0.25">
      <c r="A24" s="41">
        <v>20</v>
      </c>
      <c r="B24" s="33">
        <f t="shared" si="1"/>
        <v>598.00069083333335</v>
      </c>
      <c r="C24" s="34">
        <f t="shared" si="2"/>
        <v>588.21428571428567</v>
      </c>
      <c r="D24" s="98">
        <f t="shared" si="3"/>
        <v>194.94822521166668</v>
      </c>
      <c r="E24" s="41">
        <v>20</v>
      </c>
      <c r="F24" s="33">
        <f t="shared" si="4"/>
        <v>1216.4463019522916</v>
      </c>
      <c r="G24" s="100">
        <f t="shared" si="0"/>
        <v>396.56149443644711</v>
      </c>
      <c r="I24" s="62"/>
      <c r="J24" s="65"/>
      <c r="K24" s="63"/>
      <c r="L24" s="64"/>
      <c r="M24" s="63"/>
    </row>
    <row r="25" spans="1:13" x14ac:dyDescent="0.2">
      <c r="A25" s="41">
        <v>19</v>
      </c>
      <c r="B25" s="33">
        <f t="shared" si="1"/>
        <v>568.10065629166661</v>
      </c>
      <c r="C25" s="34">
        <f t="shared" si="2"/>
        <v>558.80357142857156</v>
      </c>
      <c r="D25" s="98">
        <f t="shared" si="3"/>
        <v>185.20081395108332</v>
      </c>
      <c r="E25" s="41">
        <v>19</v>
      </c>
      <c r="F25" s="33">
        <f t="shared" si="4"/>
        <v>1155.623986854677</v>
      </c>
      <c r="G25" s="100">
        <f t="shared" si="0"/>
        <v>376.73341971462474</v>
      </c>
      <c r="I25" s="143" t="s">
        <v>64</v>
      </c>
      <c r="J25" s="143"/>
      <c r="K25" s="144"/>
      <c r="L25" s="147">
        <v>0</v>
      </c>
      <c r="M25" s="63"/>
    </row>
    <row r="26" spans="1:13" ht="15" thickBot="1" x14ac:dyDescent="0.25">
      <c r="A26" s="41">
        <v>18</v>
      </c>
      <c r="B26" s="33">
        <f t="shared" si="1"/>
        <v>538.20062174999998</v>
      </c>
      <c r="C26" s="34">
        <f t="shared" si="2"/>
        <v>529.39285714285711</v>
      </c>
      <c r="D26" s="98">
        <f t="shared" si="3"/>
        <v>175.45340269050001</v>
      </c>
      <c r="E26" s="41">
        <v>18</v>
      </c>
      <c r="F26" s="33">
        <f t="shared" si="4"/>
        <v>1094.8016717570624</v>
      </c>
      <c r="G26" s="100">
        <f t="shared" si="0"/>
        <v>356.90534499280238</v>
      </c>
      <c r="I26" s="143"/>
      <c r="J26" s="143"/>
      <c r="K26" s="144"/>
      <c r="L26" s="148"/>
      <c r="M26" s="63"/>
    </row>
    <row r="27" spans="1:13" ht="15" thickBot="1" x14ac:dyDescent="0.25">
      <c r="A27" s="41">
        <v>17</v>
      </c>
      <c r="B27" s="33">
        <f t="shared" si="1"/>
        <v>508.3005872083333</v>
      </c>
      <c r="C27" s="34">
        <f t="shared" si="2"/>
        <v>499.98214285714289</v>
      </c>
      <c r="D27" s="98">
        <f t="shared" si="3"/>
        <v>165.70599142991665</v>
      </c>
      <c r="E27" s="41">
        <v>17</v>
      </c>
      <c r="F27" s="33">
        <f t="shared" si="4"/>
        <v>1033.9793566594478</v>
      </c>
      <c r="G27" s="100">
        <f t="shared" si="0"/>
        <v>337.07727027098002</v>
      </c>
      <c r="I27" s="62"/>
      <c r="J27" s="65"/>
      <c r="K27" s="63"/>
      <c r="L27" s="64"/>
      <c r="M27" s="63"/>
    </row>
    <row r="28" spans="1:13" x14ac:dyDescent="0.2">
      <c r="A28" s="41">
        <v>16</v>
      </c>
      <c r="B28" s="33">
        <f t="shared" si="1"/>
        <v>478.40055266666667</v>
      </c>
      <c r="C28" s="34">
        <f t="shared" si="2"/>
        <v>470.57142857142856</v>
      </c>
      <c r="D28" s="98">
        <f t="shared" si="3"/>
        <v>155.95858016933335</v>
      </c>
      <c r="E28" s="41">
        <v>16</v>
      </c>
      <c r="F28" s="33">
        <f t="shared" si="4"/>
        <v>973.15704156183324</v>
      </c>
      <c r="G28" s="100">
        <f t="shared" si="0"/>
        <v>317.24919554915766</v>
      </c>
      <c r="I28" s="128" t="s">
        <v>65</v>
      </c>
      <c r="J28" s="129"/>
      <c r="K28" s="129"/>
      <c r="L28" s="130"/>
      <c r="M28" s="63"/>
    </row>
    <row r="29" spans="1:13" ht="15" thickBot="1" x14ac:dyDescent="0.25">
      <c r="A29" s="41">
        <v>15</v>
      </c>
      <c r="B29" s="33">
        <f t="shared" si="1"/>
        <v>448.50051812500004</v>
      </c>
      <c r="C29" s="34">
        <f t="shared" si="2"/>
        <v>441.16071428571433</v>
      </c>
      <c r="D29" s="98">
        <f t="shared" si="3"/>
        <v>146.21116890875001</v>
      </c>
      <c r="E29" s="41">
        <v>15</v>
      </c>
      <c r="F29" s="33">
        <f t="shared" si="4"/>
        <v>912.33472646421865</v>
      </c>
      <c r="G29" s="100">
        <f t="shared" si="0"/>
        <v>297.4211208273353</v>
      </c>
      <c r="I29" s="131"/>
      <c r="J29" s="132"/>
      <c r="K29" s="132"/>
      <c r="L29" s="133"/>
      <c r="M29" s="63"/>
    </row>
    <row r="30" spans="1:13" ht="15" thickBot="1" x14ac:dyDescent="0.25">
      <c r="A30" s="41">
        <v>14</v>
      </c>
      <c r="B30" s="33">
        <f t="shared" si="1"/>
        <v>418.60048358333336</v>
      </c>
      <c r="C30" s="34">
        <f t="shared" si="2"/>
        <v>411.75</v>
      </c>
      <c r="D30" s="98">
        <f t="shared" si="3"/>
        <v>136.46375764816668</v>
      </c>
      <c r="E30" s="41">
        <v>14</v>
      </c>
      <c r="F30" s="33">
        <f t="shared" si="4"/>
        <v>851.51241136660406</v>
      </c>
      <c r="G30" s="100">
        <f t="shared" si="0"/>
        <v>277.59304610551294</v>
      </c>
      <c r="I30" s="80" t="s">
        <v>66</v>
      </c>
      <c r="J30" s="81" t="s">
        <v>56</v>
      </c>
      <c r="K30" s="72" t="s">
        <v>67</v>
      </c>
      <c r="L30" s="73" t="s">
        <v>58</v>
      </c>
      <c r="M30" s="63"/>
    </row>
    <row r="31" spans="1:13" x14ac:dyDescent="0.2">
      <c r="A31" s="41">
        <v>13</v>
      </c>
      <c r="B31" s="33">
        <f t="shared" si="1"/>
        <v>388.70044904166667</v>
      </c>
      <c r="C31" s="34">
        <f t="shared" si="2"/>
        <v>382.33928571428578</v>
      </c>
      <c r="D31" s="98">
        <f t="shared" si="3"/>
        <v>126.71634638758334</v>
      </c>
      <c r="E31" s="41">
        <v>13</v>
      </c>
      <c r="F31" s="33">
        <f t="shared" si="4"/>
        <v>790.69009626898946</v>
      </c>
      <c r="G31" s="100">
        <f t="shared" si="0"/>
        <v>257.76497138369058</v>
      </c>
      <c r="I31" s="134">
        <f>(L22/40*7.5*5)/7*30*$C$46</f>
        <v>0</v>
      </c>
      <c r="J31" s="136">
        <f>IF(L25&lt;I31,I31,L25)</f>
        <v>0</v>
      </c>
      <c r="K31" s="138">
        <v>32.6</v>
      </c>
      <c r="L31" s="140">
        <f>J31*K31%</f>
        <v>0</v>
      </c>
      <c r="M31" s="63"/>
    </row>
    <row r="32" spans="1:13" ht="15" thickBot="1" x14ac:dyDescent="0.25">
      <c r="A32" s="41">
        <v>12</v>
      </c>
      <c r="B32" s="33">
        <f t="shared" si="1"/>
        <v>358.80041449999999</v>
      </c>
      <c r="C32" s="34">
        <f t="shared" si="2"/>
        <v>352.92857142857144</v>
      </c>
      <c r="D32" s="98">
        <f t="shared" si="3"/>
        <v>116.96893512699999</v>
      </c>
      <c r="E32" s="41">
        <v>12</v>
      </c>
      <c r="F32" s="33">
        <f t="shared" si="4"/>
        <v>729.86778117137487</v>
      </c>
      <c r="G32" s="100">
        <f t="shared" si="0"/>
        <v>237.93689666186822</v>
      </c>
      <c r="I32" s="135"/>
      <c r="J32" s="137"/>
      <c r="K32" s="139"/>
      <c r="L32" s="141"/>
      <c r="M32" s="63"/>
    </row>
    <row r="33" spans="1:13" ht="15" thickBot="1" x14ac:dyDescent="0.25">
      <c r="A33" s="41">
        <v>11</v>
      </c>
      <c r="B33" s="33">
        <f t="shared" si="1"/>
        <v>328.90037995833336</v>
      </c>
      <c r="C33" s="34">
        <f t="shared" si="2"/>
        <v>323.51785714285717</v>
      </c>
      <c r="D33" s="98">
        <f t="shared" si="3"/>
        <v>107.22152386641667</v>
      </c>
      <c r="E33" s="41">
        <v>11</v>
      </c>
      <c r="F33" s="33">
        <f t="shared" si="4"/>
        <v>669.04546607376039</v>
      </c>
      <c r="G33" s="100">
        <f t="shared" si="0"/>
        <v>218.10882194004589</v>
      </c>
      <c r="I33" s="117" t="s">
        <v>68</v>
      </c>
      <c r="J33" s="118"/>
      <c r="K33" s="119"/>
      <c r="L33" s="75">
        <f>SUM(L31)</f>
        <v>0</v>
      </c>
      <c r="M33" s="63"/>
    </row>
    <row r="34" spans="1:13" x14ac:dyDescent="0.2">
      <c r="A34" s="41">
        <v>10</v>
      </c>
      <c r="B34" s="33">
        <f t="shared" si="1"/>
        <v>299.00034541666668</v>
      </c>
      <c r="C34" s="34">
        <f t="shared" si="2"/>
        <v>294.10714285714283</v>
      </c>
      <c r="D34" s="98">
        <f t="shared" si="3"/>
        <v>97.474112605833341</v>
      </c>
      <c r="E34" s="41">
        <v>10</v>
      </c>
      <c r="F34" s="33">
        <f t="shared" si="4"/>
        <v>608.2231509761458</v>
      </c>
      <c r="G34" s="100">
        <f t="shared" si="0"/>
        <v>198.28074721822355</v>
      </c>
      <c r="I34" s="62"/>
      <c r="J34" s="65"/>
      <c r="K34" s="63"/>
      <c r="L34" s="64"/>
      <c r="M34" s="63"/>
    </row>
    <row r="35" spans="1:13" x14ac:dyDescent="0.2">
      <c r="A35" s="41">
        <v>9</v>
      </c>
      <c r="B35" s="33">
        <f t="shared" si="1"/>
        <v>269.10031087499999</v>
      </c>
      <c r="C35" s="34">
        <f t="shared" si="2"/>
        <v>264.69642857142856</v>
      </c>
      <c r="D35" s="98">
        <f t="shared" si="3"/>
        <v>87.726701345250007</v>
      </c>
      <c r="E35" s="41">
        <v>9</v>
      </c>
      <c r="F35" s="33">
        <f t="shared" si="4"/>
        <v>547.40083587853121</v>
      </c>
      <c r="G35" s="100">
        <f t="shared" si="0"/>
        <v>178.45267249640119</v>
      </c>
      <c r="I35" s="124" t="s">
        <v>69</v>
      </c>
      <c r="J35" s="124"/>
      <c r="K35" s="124"/>
      <c r="L35" s="124"/>
      <c r="M35" s="125" t="s">
        <v>70</v>
      </c>
    </row>
    <row r="36" spans="1:13" x14ac:dyDescent="0.2">
      <c r="A36" s="41">
        <v>8</v>
      </c>
      <c r="B36" s="33">
        <f t="shared" si="1"/>
        <v>239.20027633333333</v>
      </c>
      <c r="C36" s="34">
        <f t="shared" si="2"/>
        <v>235.28571428571428</v>
      </c>
      <c r="D36" s="98">
        <f t="shared" si="3"/>
        <v>77.979290084666673</v>
      </c>
      <c r="E36" s="41">
        <v>8</v>
      </c>
      <c r="F36" s="33">
        <f t="shared" si="4"/>
        <v>486.57852078091662</v>
      </c>
      <c r="G36" s="100">
        <f t="shared" si="0"/>
        <v>158.62459777457883</v>
      </c>
      <c r="I36" s="124"/>
      <c r="J36" s="124"/>
      <c r="K36" s="124"/>
      <c r="L36" s="124"/>
      <c r="M36" s="125"/>
    </row>
    <row r="37" spans="1:13" x14ac:dyDescent="0.2">
      <c r="A37" s="41">
        <v>7</v>
      </c>
      <c r="B37" s="33">
        <f t="shared" si="1"/>
        <v>209.30024179166668</v>
      </c>
      <c r="C37" s="34">
        <f t="shared" si="2"/>
        <v>205.875</v>
      </c>
      <c r="D37" s="98">
        <f t="shared" si="3"/>
        <v>68.231878824083338</v>
      </c>
      <c r="E37" s="41">
        <v>7</v>
      </c>
      <c r="F37" s="33">
        <f t="shared" si="4"/>
        <v>425.75620568330203</v>
      </c>
      <c r="G37" s="100">
        <f t="shared" si="0"/>
        <v>138.79652305275647</v>
      </c>
      <c r="I37" s="32"/>
    </row>
    <row r="38" spans="1:13" x14ac:dyDescent="0.2">
      <c r="A38" s="41">
        <v>6</v>
      </c>
      <c r="B38" s="33">
        <f t="shared" si="1"/>
        <v>179.40020724999999</v>
      </c>
      <c r="C38" s="34">
        <f t="shared" si="2"/>
        <v>176.46428571428572</v>
      </c>
      <c r="D38" s="98">
        <f t="shared" si="3"/>
        <v>58.484467563499997</v>
      </c>
      <c r="E38" s="41">
        <v>6</v>
      </c>
      <c r="F38" s="33">
        <f t="shared" si="4"/>
        <v>364.93389058568744</v>
      </c>
      <c r="G38" s="100">
        <f t="shared" si="0"/>
        <v>118.96844833093411</v>
      </c>
      <c r="I38" s="32"/>
    </row>
    <row r="39" spans="1:13" x14ac:dyDescent="0.2">
      <c r="A39" s="41">
        <v>5</v>
      </c>
      <c r="B39" s="33">
        <f t="shared" si="1"/>
        <v>149.50017270833334</v>
      </c>
      <c r="C39" s="34">
        <f t="shared" si="2"/>
        <v>147.05357142857142</v>
      </c>
      <c r="D39" s="98">
        <f t="shared" si="3"/>
        <v>48.73705630291667</v>
      </c>
      <c r="E39" s="41">
        <v>5</v>
      </c>
      <c r="F39" s="33">
        <f t="shared" si="4"/>
        <v>304.1115754880729</v>
      </c>
      <c r="G39" s="100">
        <f t="shared" si="0"/>
        <v>99.140373609111776</v>
      </c>
      <c r="I39" s="32"/>
    </row>
    <row r="40" spans="1:13" x14ac:dyDescent="0.2">
      <c r="A40" s="41">
        <v>4</v>
      </c>
      <c r="B40" s="33">
        <f t="shared" si="1"/>
        <v>119.60013816666667</v>
      </c>
      <c r="C40" s="34">
        <f t="shared" si="2"/>
        <v>117.64285714285714</v>
      </c>
      <c r="D40" s="98">
        <f t="shared" si="3"/>
        <v>38.989645042333336</v>
      </c>
      <c r="E40" s="41">
        <v>4</v>
      </c>
      <c r="F40" s="33">
        <f t="shared" si="4"/>
        <v>243.28926039045831</v>
      </c>
      <c r="G40" s="100">
        <f t="shared" si="0"/>
        <v>79.312298887289415</v>
      </c>
      <c r="I40" s="32"/>
    </row>
    <row r="41" spans="1:13" x14ac:dyDescent="0.2">
      <c r="A41" s="41">
        <v>3</v>
      </c>
      <c r="B41" s="33">
        <f t="shared" si="1"/>
        <v>89.700103624999997</v>
      </c>
      <c r="C41" s="34">
        <f t="shared" si="2"/>
        <v>88.232142857142861</v>
      </c>
      <c r="D41" s="98">
        <f t="shared" si="3"/>
        <v>29.242233781749999</v>
      </c>
      <c r="E41" s="41">
        <v>3</v>
      </c>
      <c r="F41" s="33">
        <f t="shared" si="4"/>
        <v>182.46694529284372</v>
      </c>
      <c r="G41" s="100">
        <f t="shared" si="0"/>
        <v>59.484224165467054</v>
      </c>
      <c r="I41" s="32"/>
    </row>
    <row r="42" spans="1:13" x14ac:dyDescent="0.2">
      <c r="A42" s="41">
        <v>2</v>
      </c>
      <c r="B42" s="33">
        <f t="shared" si="1"/>
        <v>59.800069083333334</v>
      </c>
      <c r="C42" s="34">
        <f t="shared" si="2"/>
        <v>58.821428571428569</v>
      </c>
      <c r="D42" s="98">
        <f t="shared" si="3"/>
        <v>19.494822521166668</v>
      </c>
      <c r="E42" s="41">
        <v>2</v>
      </c>
      <c r="F42" s="33">
        <f t="shared" si="4"/>
        <v>121.64463019522915</v>
      </c>
      <c r="G42" s="100">
        <f t="shared" si="0"/>
        <v>39.656149443644708</v>
      </c>
      <c r="I42" s="32"/>
    </row>
    <row r="43" spans="1:13" ht="15" thickBot="1" x14ac:dyDescent="0.25">
      <c r="A43" s="97">
        <v>1</v>
      </c>
      <c r="B43" s="96">
        <f t="shared" si="1"/>
        <v>29.900034541666667</v>
      </c>
      <c r="C43" s="89">
        <f t="shared" si="2"/>
        <v>29.410714285714285</v>
      </c>
      <c r="D43" s="99">
        <f t="shared" si="3"/>
        <v>9.7474112605833341</v>
      </c>
      <c r="E43" s="87">
        <v>1</v>
      </c>
      <c r="F43" s="36">
        <f t="shared" si="4"/>
        <v>60.822315097614577</v>
      </c>
      <c r="G43" s="101">
        <f t="shared" si="0"/>
        <v>19.828074721822354</v>
      </c>
      <c r="I43" s="32"/>
    </row>
    <row r="44" spans="1:13" x14ac:dyDescent="0.2">
      <c r="B44" s="95"/>
    </row>
    <row r="46" spans="1:13" s="54" customFormat="1" ht="57.75" hidden="1" thickBot="1" x14ac:dyDescent="0.25">
      <c r="A46" s="51"/>
      <c r="B46" s="52" t="s">
        <v>42</v>
      </c>
      <c r="C46" s="53">
        <v>7.32</v>
      </c>
      <c r="D46" s="51"/>
      <c r="E46" s="55"/>
      <c r="G46" s="51"/>
      <c r="I46" s="56"/>
    </row>
  </sheetData>
  <sheetProtection algorithmName="SHA-512" hashValue="KQfKppWfm2NrQb+g+MurzDPx999dsYc3qMg8Gi+yiCw9eszR4bEF4TNZQMk3JgePmc+f9RW7Rr9g+RV2S8k5ug==" saltValue="lDauSiHGo9IB8jX8utdNUA==" spinCount="100000" sheet="1" objects="1" scenarios="1"/>
  <protectedRanges>
    <protectedRange sqref="L7" name="RET TC"/>
    <protectedRange sqref="L22" name="DED"/>
    <protectedRange sqref="L25" name="RET TP"/>
    <protectedRange sqref="M35" name="CALCULO RC_2"/>
  </protectedRanges>
  <mergeCells count="41">
    <mergeCell ref="E2:E3"/>
    <mergeCell ref="B1:D1"/>
    <mergeCell ref="A2:A3"/>
    <mergeCell ref="B2:B3"/>
    <mergeCell ref="C2:C3"/>
    <mergeCell ref="D2:D3"/>
    <mergeCell ref="F2:F3"/>
    <mergeCell ref="G2:G3"/>
    <mergeCell ref="I1:K1"/>
    <mergeCell ref="L1:M1"/>
    <mergeCell ref="I3:I4"/>
    <mergeCell ref="J3:J4"/>
    <mergeCell ref="K3:K4"/>
    <mergeCell ref="L3:L4"/>
    <mergeCell ref="M3:M4"/>
    <mergeCell ref="F1:G1"/>
    <mergeCell ref="I7:K8"/>
    <mergeCell ref="L7:L8"/>
    <mergeCell ref="I10:L11"/>
    <mergeCell ref="I13:I14"/>
    <mergeCell ref="J13:J14"/>
    <mergeCell ref="K13:K14"/>
    <mergeCell ref="L13:L14"/>
    <mergeCell ref="I15:I16"/>
    <mergeCell ref="J15:J16"/>
    <mergeCell ref="K15:K16"/>
    <mergeCell ref="L15:L16"/>
    <mergeCell ref="I17:J17"/>
    <mergeCell ref="I19:M20"/>
    <mergeCell ref="I22:K23"/>
    <mergeCell ref="L22:L23"/>
    <mergeCell ref="I25:K26"/>
    <mergeCell ref="L25:L26"/>
    <mergeCell ref="I33:K33"/>
    <mergeCell ref="I35:L36"/>
    <mergeCell ref="M35:M36"/>
    <mergeCell ref="I28:L29"/>
    <mergeCell ref="I31:I32"/>
    <mergeCell ref="J31:J32"/>
    <mergeCell ref="K31:K32"/>
    <mergeCell ref="L31:L32"/>
  </mergeCells>
  <phoneticPr fontId="0" type="noConversion"/>
  <hyperlinks>
    <hyperlink ref="M35:M36" r:id="rId1" display="CALCULO RC"/>
  </hyperlinks>
  <pageMargins left="0.75" right="0.75" top="1" bottom="1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7" workbookViewId="0">
      <selection activeCell="G7" sqref="G7:I8"/>
    </sheetView>
  </sheetViews>
  <sheetFormatPr baseColWidth="10" defaultRowHeight="12.75" x14ac:dyDescent="0.2"/>
  <cols>
    <col min="1" max="1" width="25.140625" style="1" bestFit="1" customWidth="1"/>
    <col min="2" max="2" width="21.28515625" style="1" bestFit="1" customWidth="1"/>
    <col min="3" max="3" width="18.28515625" style="30" hidden="1" customWidth="1"/>
    <col min="4" max="4" width="22.42578125" style="1" customWidth="1"/>
    <col min="5" max="5" width="6.85546875" customWidth="1"/>
    <col min="6" max="6" width="6.85546875" bestFit="1" customWidth="1"/>
    <col min="7" max="7" width="25.5703125" customWidth="1"/>
    <col min="8" max="8" width="21.7109375" customWidth="1"/>
    <col min="9" max="9" width="26.5703125" customWidth="1"/>
    <col min="10" max="10" width="19.85546875" customWidth="1"/>
    <col min="11" max="11" width="16.42578125" customWidth="1"/>
  </cols>
  <sheetData>
    <row r="1" spans="1:11" ht="43.15" customHeight="1" x14ac:dyDescent="0.2">
      <c r="A1" s="171" t="s">
        <v>0</v>
      </c>
      <c r="B1" s="113" t="s">
        <v>72</v>
      </c>
      <c r="C1" s="174" t="s">
        <v>75</v>
      </c>
      <c r="D1" s="115" t="s">
        <v>71</v>
      </c>
      <c r="G1" s="176" t="s">
        <v>47</v>
      </c>
      <c r="H1" s="177"/>
      <c r="I1" s="178"/>
      <c r="J1" s="176" t="s">
        <v>48</v>
      </c>
      <c r="K1" s="178"/>
    </row>
    <row r="2" spans="1:11" ht="28.5" customHeight="1" thickBot="1" x14ac:dyDescent="0.25">
      <c r="A2" s="172"/>
      <c r="B2" s="114"/>
      <c r="C2" s="175"/>
      <c r="D2" s="116"/>
      <c r="G2" s="60" t="s">
        <v>49</v>
      </c>
      <c r="H2" s="60" t="s">
        <v>50</v>
      </c>
      <c r="I2" s="60" t="s">
        <v>51</v>
      </c>
      <c r="J2" s="61" t="s">
        <v>52</v>
      </c>
      <c r="K2" s="60" t="s">
        <v>53</v>
      </c>
    </row>
    <row r="3" spans="1:11" ht="14.25" x14ac:dyDescent="0.2">
      <c r="A3" s="42">
        <v>40</v>
      </c>
      <c r="B3" s="33">
        <f>PARAMETROS!B5</f>
        <v>2185.8546666666671</v>
      </c>
      <c r="C3" s="34"/>
      <c r="D3" s="33"/>
      <c r="G3" s="179">
        <v>5</v>
      </c>
      <c r="H3" s="181">
        <v>1050</v>
      </c>
      <c r="I3" s="181">
        <v>4070.1</v>
      </c>
      <c r="J3" s="183">
        <v>1050</v>
      </c>
      <c r="K3" s="183">
        <v>4070.1</v>
      </c>
    </row>
    <row r="4" spans="1:11" ht="14.25" x14ac:dyDescent="0.2">
      <c r="A4" s="42">
        <v>39</v>
      </c>
      <c r="B4" s="33">
        <f>PRODUCT(PARAMETROS!B$5,A4)/A$3</f>
        <v>2131.2083000000002</v>
      </c>
      <c r="C4" s="34">
        <f>(A4/$A$3* 7.5*5)/7*30*$C$46</f>
        <v>991.88839285714278</v>
      </c>
      <c r="D4" s="33">
        <f>IF(B4&lt;C4,C4*$I$17%,B4*$I$17%)</f>
        <v>694.77390580000008</v>
      </c>
      <c r="G4" s="180"/>
      <c r="H4" s="182"/>
      <c r="I4" s="182"/>
      <c r="J4" s="184"/>
      <c r="K4" s="184"/>
    </row>
    <row r="5" spans="1:11" ht="14.25" x14ac:dyDescent="0.2">
      <c r="A5" s="42">
        <v>38</v>
      </c>
      <c r="B5" s="33">
        <f>PRODUCT(PARAMETROS!B$5,A5)/A$3</f>
        <v>2076.5619333333334</v>
      </c>
      <c r="C5" s="34">
        <f t="shared" ref="C5:C42" si="0">(A5/$A$3* 7.5*5)/7*30*$C$46</f>
        <v>966.45535714285722</v>
      </c>
      <c r="D5" s="33">
        <f t="shared" ref="D5:D42" si="1">IF(B5&lt;C5,C5*$I$17%,B5*$I$17%)</f>
        <v>676.95919026666672</v>
      </c>
      <c r="G5" s="62"/>
      <c r="H5" s="63"/>
      <c r="I5" s="63"/>
      <c r="J5" s="64"/>
      <c r="K5" s="63"/>
    </row>
    <row r="6" spans="1:11" ht="15" thickBot="1" x14ac:dyDescent="0.25">
      <c r="A6" s="42">
        <v>37</v>
      </c>
      <c r="B6" s="33">
        <f>PRODUCT(PARAMETROS!B$5,A6)/A$3</f>
        <v>2021.915566666667</v>
      </c>
      <c r="C6" s="34">
        <f t="shared" si="0"/>
        <v>941.02232142857156</v>
      </c>
      <c r="D6" s="33">
        <f t="shared" si="1"/>
        <v>659.14447473333348</v>
      </c>
      <c r="G6" s="62"/>
      <c r="H6" s="65"/>
      <c r="I6" s="63"/>
      <c r="J6" s="64"/>
      <c r="K6" s="63"/>
    </row>
    <row r="7" spans="1:11" ht="14.25" customHeight="1" x14ac:dyDescent="0.2">
      <c r="A7" s="42">
        <v>36</v>
      </c>
      <c r="B7" s="33">
        <f>PRODUCT(PARAMETROS!B$5,A7)/A$3</f>
        <v>1967.2692000000002</v>
      </c>
      <c r="C7" s="34">
        <f t="shared" si="0"/>
        <v>915.58928571428567</v>
      </c>
      <c r="D7" s="33">
        <f t="shared" si="1"/>
        <v>641.32975920000013</v>
      </c>
      <c r="G7" s="143" t="s">
        <v>54</v>
      </c>
      <c r="H7" s="143"/>
      <c r="I7" s="144"/>
      <c r="J7" s="168">
        <v>2185.85</v>
      </c>
      <c r="K7" s="63"/>
    </row>
    <row r="8" spans="1:11" ht="14.25" customHeight="1" thickBot="1" x14ac:dyDescent="0.25">
      <c r="A8" s="42">
        <v>35</v>
      </c>
      <c r="B8" s="33">
        <f>PRODUCT(PARAMETROS!B$5,A8)/A$3</f>
        <v>1912.6228333333336</v>
      </c>
      <c r="C8" s="34">
        <f t="shared" si="0"/>
        <v>890.15625</v>
      </c>
      <c r="D8" s="33">
        <f t="shared" si="1"/>
        <v>623.51504366666677</v>
      </c>
      <c r="G8" s="143"/>
      <c r="H8" s="143"/>
      <c r="I8" s="144"/>
      <c r="J8" s="169"/>
      <c r="K8" s="63"/>
    </row>
    <row r="9" spans="1:11" ht="15" thickBot="1" x14ac:dyDescent="0.25">
      <c r="A9" s="42">
        <v>34</v>
      </c>
      <c r="B9" s="33">
        <f>PRODUCT(PARAMETROS!B$5,A9)/A$3</f>
        <v>1857.976466666667</v>
      </c>
      <c r="C9" s="34">
        <f t="shared" si="0"/>
        <v>864.72321428571433</v>
      </c>
      <c r="D9" s="33">
        <f t="shared" si="1"/>
        <v>605.70032813333341</v>
      </c>
      <c r="G9" s="66"/>
      <c r="H9" s="67"/>
      <c r="I9" s="68"/>
      <c r="J9" s="69"/>
      <c r="K9" s="63"/>
    </row>
    <row r="10" spans="1:11" ht="14.25" customHeight="1" x14ac:dyDescent="0.2">
      <c r="A10" s="42">
        <v>33</v>
      </c>
      <c r="B10" s="33">
        <f>PRODUCT(PARAMETROS!B$5,A10)/A$3</f>
        <v>1803.3301000000004</v>
      </c>
      <c r="C10" s="34">
        <f t="shared" si="0"/>
        <v>839.29017857142844</v>
      </c>
      <c r="D10" s="33">
        <f t="shared" si="1"/>
        <v>587.88561260000017</v>
      </c>
      <c r="G10" s="128" t="s">
        <v>55</v>
      </c>
      <c r="H10" s="129"/>
      <c r="I10" s="129"/>
      <c r="J10" s="130"/>
      <c r="K10" s="63"/>
    </row>
    <row r="11" spans="1:11" ht="14.25" customHeight="1" thickBot="1" x14ac:dyDescent="0.25">
      <c r="A11" s="42">
        <v>32</v>
      </c>
      <c r="B11" s="33">
        <f>PRODUCT(PARAMETROS!B$5,A11)/A$3</f>
        <v>1748.6837333333337</v>
      </c>
      <c r="C11" s="34">
        <f t="shared" si="0"/>
        <v>813.85714285714278</v>
      </c>
      <c r="D11" s="33">
        <f t="shared" si="1"/>
        <v>570.07089706666682</v>
      </c>
      <c r="G11" s="131"/>
      <c r="H11" s="132"/>
      <c r="I11" s="132"/>
      <c r="J11" s="133"/>
      <c r="K11" s="63"/>
    </row>
    <row r="12" spans="1:11" ht="15" thickBot="1" x14ac:dyDescent="0.25">
      <c r="A12" s="42">
        <v>31</v>
      </c>
      <c r="B12" s="33">
        <f>PRODUCT(PARAMETROS!B$5,A12)/A$3</f>
        <v>1694.0373666666669</v>
      </c>
      <c r="C12" s="34">
        <f t="shared" si="0"/>
        <v>788.42410714285711</v>
      </c>
      <c r="D12" s="33">
        <f t="shared" si="1"/>
        <v>552.25618153333346</v>
      </c>
      <c r="G12" s="70"/>
      <c r="H12" s="81" t="s">
        <v>56</v>
      </c>
      <c r="I12" s="72" t="s">
        <v>57</v>
      </c>
      <c r="J12" s="103" t="s">
        <v>58</v>
      </c>
      <c r="K12" s="63"/>
    </row>
    <row r="13" spans="1:11" ht="14.25" x14ac:dyDescent="0.2">
      <c r="A13" s="42">
        <v>30</v>
      </c>
      <c r="B13" s="33">
        <f>PRODUCT(PARAMETROS!B$5,A13)/A$3</f>
        <v>1639.3910000000003</v>
      </c>
      <c r="C13" s="34">
        <f t="shared" si="0"/>
        <v>762.99107142857144</v>
      </c>
      <c r="D13" s="33">
        <f t="shared" si="1"/>
        <v>534.4414660000001</v>
      </c>
      <c r="G13" s="149" t="s">
        <v>59</v>
      </c>
      <c r="H13" s="120">
        <f>IF(J7&gt;=H3,J7,H3)</f>
        <v>2185.85</v>
      </c>
      <c r="I13" s="138">
        <v>23.6</v>
      </c>
      <c r="J13" s="140">
        <f>H13*I13%</f>
        <v>515.86059999999998</v>
      </c>
      <c r="K13" s="63"/>
    </row>
    <row r="14" spans="1:11" ht="15" thickBot="1" x14ac:dyDescent="0.25">
      <c r="A14" s="42">
        <v>29</v>
      </c>
      <c r="B14" s="33">
        <f>PRODUCT(PARAMETROS!B$5,A14)/A$3</f>
        <v>1584.7446333333337</v>
      </c>
      <c r="C14" s="34">
        <f t="shared" si="0"/>
        <v>737.55803571428578</v>
      </c>
      <c r="D14" s="33">
        <f t="shared" si="1"/>
        <v>516.62675046666675</v>
      </c>
      <c r="G14" s="150"/>
      <c r="H14" s="121"/>
      <c r="I14" s="139"/>
      <c r="J14" s="141"/>
      <c r="K14" s="63"/>
    </row>
    <row r="15" spans="1:11" ht="14.25" x14ac:dyDescent="0.2">
      <c r="A15" s="42">
        <v>28</v>
      </c>
      <c r="B15" s="33">
        <f>PRODUCT(PARAMETROS!B$5,A15)/A$3</f>
        <v>1530.0982666666671</v>
      </c>
      <c r="C15" s="34">
        <f t="shared" si="0"/>
        <v>712.125</v>
      </c>
      <c r="D15" s="33">
        <f t="shared" si="1"/>
        <v>498.81203493333351</v>
      </c>
      <c r="G15" s="149" t="s">
        <v>60</v>
      </c>
      <c r="H15" s="120">
        <f>IF(J7&gt;=J3,J7,J3)</f>
        <v>2185.85</v>
      </c>
      <c r="I15" s="138">
        <v>9</v>
      </c>
      <c r="J15" s="140">
        <f>H15*I15%</f>
        <v>196.72649999999999</v>
      </c>
      <c r="K15" s="63"/>
    </row>
    <row r="16" spans="1:11" ht="15" thickBot="1" x14ac:dyDescent="0.25">
      <c r="A16" s="42">
        <v>27</v>
      </c>
      <c r="B16" s="33">
        <f>PRODUCT(PARAMETROS!B$5,A16)/A$3</f>
        <v>1475.4519000000003</v>
      </c>
      <c r="C16" s="34">
        <f t="shared" si="0"/>
        <v>686.69196428571422</v>
      </c>
      <c r="D16" s="33">
        <f t="shared" si="1"/>
        <v>480.99731940000009</v>
      </c>
      <c r="G16" s="150"/>
      <c r="H16" s="121"/>
      <c r="I16" s="139"/>
      <c r="J16" s="141"/>
      <c r="K16" s="63"/>
    </row>
    <row r="17" spans="1:11" ht="15" customHeight="1" thickBot="1" x14ac:dyDescent="0.25">
      <c r="A17" s="42">
        <v>26</v>
      </c>
      <c r="B17" s="33">
        <f>PRODUCT(PARAMETROS!B$5,A17)/A$3</f>
        <v>1420.8055333333336</v>
      </c>
      <c r="C17" s="34">
        <f t="shared" si="0"/>
        <v>661.25892857142867</v>
      </c>
      <c r="D17" s="33">
        <f t="shared" si="1"/>
        <v>463.1826038666668</v>
      </c>
      <c r="G17" s="152" t="s">
        <v>61</v>
      </c>
      <c r="H17" s="153"/>
      <c r="I17" s="74">
        <f>(I13+I15)</f>
        <v>32.6</v>
      </c>
      <c r="J17" s="75">
        <f>SUM(J13:J16)</f>
        <v>712.58709999999996</v>
      </c>
      <c r="K17" s="63"/>
    </row>
    <row r="18" spans="1:11" ht="15" customHeight="1" x14ac:dyDescent="0.2">
      <c r="A18" s="42">
        <v>25</v>
      </c>
      <c r="B18" s="33">
        <f>PRODUCT(PARAMETROS!B$5,A18)/A$3</f>
        <v>1366.1591666666668</v>
      </c>
      <c r="C18" s="34">
        <f t="shared" si="0"/>
        <v>635.82589285714289</v>
      </c>
      <c r="D18" s="33">
        <f t="shared" si="1"/>
        <v>445.36788833333338</v>
      </c>
      <c r="G18" s="76"/>
      <c r="H18" s="77"/>
      <c r="I18" s="78"/>
      <c r="J18" s="79"/>
      <c r="K18" s="63"/>
    </row>
    <row r="19" spans="1:11" ht="14.25" customHeight="1" x14ac:dyDescent="0.2">
      <c r="A19" s="42">
        <v>24</v>
      </c>
      <c r="B19" s="33">
        <f>PRODUCT(PARAMETROS!B$5,A19)/A$3</f>
        <v>1311.5128000000002</v>
      </c>
      <c r="C19" s="34">
        <f t="shared" si="0"/>
        <v>610.39285714285711</v>
      </c>
      <c r="D19" s="33">
        <f t="shared" si="1"/>
        <v>427.55317280000008</v>
      </c>
      <c r="G19" s="142" t="s">
        <v>73</v>
      </c>
      <c r="H19" s="142"/>
      <c r="I19" s="142"/>
      <c r="J19" s="142"/>
      <c r="K19" s="142"/>
    </row>
    <row r="20" spans="1:11" ht="14.25" customHeight="1" x14ac:dyDescent="0.2">
      <c r="A20" s="42">
        <v>23</v>
      </c>
      <c r="B20" s="33">
        <f>PRODUCT(PARAMETROS!B$5,A20)/A$3</f>
        <v>1256.8664333333336</v>
      </c>
      <c r="C20" s="34">
        <f t="shared" si="0"/>
        <v>584.95982142857133</v>
      </c>
      <c r="D20" s="33">
        <f t="shared" si="1"/>
        <v>409.73845726666679</v>
      </c>
      <c r="G20" s="142"/>
      <c r="H20" s="142"/>
      <c r="I20" s="142"/>
      <c r="J20" s="142"/>
      <c r="K20" s="142"/>
    </row>
    <row r="21" spans="1:11" ht="15" thickBot="1" x14ac:dyDescent="0.25">
      <c r="A21" s="42">
        <v>22</v>
      </c>
      <c r="B21" s="33">
        <f>PRODUCT(PARAMETROS!B$5,A21)/A$3</f>
        <v>1202.220066666667</v>
      </c>
      <c r="C21" s="34">
        <f t="shared" si="0"/>
        <v>559.52678571428578</v>
      </c>
      <c r="D21" s="33">
        <f t="shared" si="1"/>
        <v>391.92374173333343</v>
      </c>
      <c r="G21" s="62"/>
      <c r="H21" s="65"/>
      <c r="I21" s="63"/>
      <c r="J21" s="64"/>
      <c r="K21" s="63"/>
    </row>
    <row r="22" spans="1:11" ht="14.25" customHeight="1" x14ac:dyDescent="0.2">
      <c r="A22" s="42">
        <v>21</v>
      </c>
      <c r="B22" s="33">
        <f>PRODUCT(PARAMETROS!B$5,A22)/A$3</f>
        <v>1147.5737000000004</v>
      </c>
      <c r="C22" s="34">
        <f t="shared" si="0"/>
        <v>534.09375</v>
      </c>
      <c r="D22" s="33">
        <f t="shared" si="1"/>
        <v>374.10902620000013</v>
      </c>
      <c r="G22" s="143" t="s">
        <v>63</v>
      </c>
      <c r="H22" s="143"/>
      <c r="I22" s="144"/>
      <c r="J22" s="166">
        <v>0</v>
      </c>
      <c r="K22" s="63"/>
    </row>
    <row r="23" spans="1:11" ht="14.25" customHeight="1" thickBot="1" x14ac:dyDescent="0.25">
      <c r="A23" s="42">
        <v>20</v>
      </c>
      <c r="B23" s="33">
        <f>PRODUCT(PARAMETROS!B$5,A23)/A$3</f>
        <v>1092.9273333333335</v>
      </c>
      <c r="C23" s="34">
        <f t="shared" si="0"/>
        <v>508.66071428571422</v>
      </c>
      <c r="D23" s="33">
        <f t="shared" si="1"/>
        <v>356.29431066666672</v>
      </c>
      <c r="G23" s="143"/>
      <c r="H23" s="143"/>
      <c r="I23" s="144"/>
      <c r="J23" s="167"/>
      <c r="K23" s="63"/>
    </row>
    <row r="24" spans="1:11" ht="15" thickBot="1" x14ac:dyDescent="0.25">
      <c r="A24" s="42">
        <v>19</v>
      </c>
      <c r="B24" s="33">
        <f>PRODUCT(PARAMETROS!B$5,A24)/A$3</f>
        <v>1038.2809666666667</v>
      </c>
      <c r="C24" s="34">
        <f t="shared" si="0"/>
        <v>483.22767857142861</v>
      </c>
      <c r="D24" s="33">
        <f t="shared" si="1"/>
        <v>338.47959513333336</v>
      </c>
      <c r="G24" s="62"/>
      <c r="H24" s="65"/>
      <c r="I24" s="63"/>
      <c r="J24" s="64"/>
      <c r="K24" s="63"/>
    </row>
    <row r="25" spans="1:11" ht="14.25" customHeight="1" x14ac:dyDescent="0.2">
      <c r="A25" s="42">
        <v>18</v>
      </c>
      <c r="B25" s="33">
        <f>PRODUCT(PARAMETROS!B$5,A25)/A$3</f>
        <v>983.63460000000009</v>
      </c>
      <c r="C25" s="34">
        <f t="shared" si="0"/>
        <v>457.79464285714283</v>
      </c>
      <c r="D25" s="33">
        <f t="shared" si="1"/>
        <v>320.66487960000006</v>
      </c>
      <c r="G25" s="143" t="s">
        <v>64</v>
      </c>
      <c r="H25" s="143"/>
      <c r="I25" s="144"/>
      <c r="J25" s="168">
        <v>0</v>
      </c>
      <c r="K25" s="63"/>
    </row>
    <row r="26" spans="1:11" ht="14.25" customHeight="1" thickBot="1" x14ac:dyDescent="0.25">
      <c r="A26" s="42">
        <v>17</v>
      </c>
      <c r="B26" s="33">
        <f>PRODUCT(PARAMETROS!B$5,A26)/A$3</f>
        <v>928.98823333333348</v>
      </c>
      <c r="C26" s="34">
        <f t="shared" si="0"/>
        <v>432.36160714285717</v>
      </c>
      <c r="D26" s="33">
        <f t="shared" si="1"/>
        <v>302.85016406666671</v>
      </c>
      <c r="G26" s="143"/>
      <c r="H26" s="143"/>
      <c r="I26" s="144"/>
      <c r="J26" s="169"/>
      <c r="K26" s="63"/>
    </row>
    <row r="27" spans="1:11" ht="15" thickBot="1" x14ac:dyDescent="0.25">
      <c r="A27" s="42">
        <v>16</v>
      </c>
      <c r="B27" s="33">
        <f>PRODUCT(PARAMETROS!B$5,A27)/A$3</f>
        <v>874.34186666666687</v>
      </c>
      <c r="C27" s="34">
        <f t="shared" si="0"/>
        <v>406.92857142857139</v>
      </c>
      <c r="D27" s="33">
        <f t="shared" si="1"/>
        <v>285.03544853333341</v>
      </c>
      <c r="G27" s="62"/>
      <c r="H27" s="65"/>
      <c r="I27" s="63"/>
      <c r="J27" s="64"/>
      <c r="K27" s="63"/>
    </row>
    <row r="28" spans="1:11" ht="14.25" customHeight="1" x14ac:dyDescent="0.2">
      <c r="A28" s="42">
        <v>15</v>
      </c>
      <c r="B28" s="33">
        <f>PRODUCT(PARAMETROS!B$5,A28)/A$3</f>
        <v>819.69550000000015</v>
      </c>
      <c r="C28" s="34">
        <f t="shared" si="0"/>
        <v>381.49553571428572</v>
      </c>
      <c r="D28" s="33">
        <f t="shared" si="1"/>
        <v>267.22073300000005</v>
      </c>
      <c r="G28" s="128" t="s">
        <v>65</v>
      </c>
      <c r="H28" s="129"/>
      <c r="I28" s="129"/>
      <c r="J28" s="130"/>
      <c r="K28" s="63"/>
    </row>
    <row r="29" spans="1:11" ht="14.25" customHeight="1" thickBot="1" x14ac:dyDescent="0.25">
      <c r="A29" s="42">
        <v>14</v>
      </c>
      <c r="B29" s="33">
        <f>PRODUCT(PARAMETROS!B$5,A29)/A$3</f>
        <v>765.04913333333354</v>
      </c>
      <c r="C29" s="34">
        <f t="shared" si="0"/>
        <v>356.0625</v>
      </c>
      <c r="D29" s="33">
        <f t="shared" si="1"/>
        <v>249.40601746666675</v>
      </c>
      <c r="G29" s="131"/>
      <c r="H29" s="132"/>
      <c r="I29" s="132"/>
      <c r="J29" s="133"/>
      <c r="K29" s="63"/>
    </row>
    <row r="30" spans="1:11" ht="15" thickBot="1" x14ac:dyDescent="0.25">
      <c r="A30" s="42">
        <v>13</v>
      </c>
      <c r="B30" s="33">
        <f>PRODUCT(PARAMETROS!B$5,A30)/A$3</f>
        <v>710.40276666666682</v>
      </c>
      <c r="C30" s="34">
        <f t="shared" si="0"/>
        <v>330.62946428571433</v>
      </c>
      <c r="D30" s="33">
        <f t="shared" si="1"/>
        <v>231.5913019333334</v>
      </c>
      <c r="G30" s="80" t="s">
        <v>66</v>
      </c>
      <c r="H30" s="81" t="s">
        <v>56</v>
      </c>
      <c r="I30" s="72" t="s">
        <v>67</v>
      </c>
      <c r="J30" s="73" t="s">
        <v>58</v>
      </c>
      <c r="K30" s="63"/>
    </row>
    <row r="31" spans="1:11" ht="14.25" x14ac:dyDescent="0.2">
      <c r="A31" s="42">
        <v>12</v>
      </c>
      <c r="B31" s="33">
        <f>PRODUCT(PARAMETROS!B$5,A31)/A$3</f>
        <v>655.7564000000001</v>
      </c>
      <c r="C31" s="34">
        <f t="shared" si="0"/>
        <v>305.19642857142856</v>
      </c>
      <c r="D31" s="33">
        <f t="shared" si="1"/>
        <v>213.77658640000004</v>
      </c>
      <c r="G31" s="170">
        <f>(J22/40*7.5*5)/7*30*$C$46</f>
        <v>0</v>
      </c>
      <c r="H31" s="136">
        <f>IF(J25&lt;G31,G31,J25)</f>
        <v>0</v>
      </c>
      <c r="I31" s="138">
        <v>32.6</v>
      </c>
      <c r="J31" s="140">
        <f>H31*I31%</f>
        <v>0</v>
      </c>
      <c r="K31" s="63"/>
    </row>
    <row r="32" spans="1:11" ht="15" thickBot="1" x14ac:dyDescent="0.25">
      <c r="A32" s="42">
        <v>11</v>
      </c>
      <c r="B32" s="33">
        <f>PRODUCT(PARAMETROS!B$5,A32)/A$3</f>
        <v>601.11003333333349</v>
      </c>
      <c r="C32" s="34">
        <f t="shared" si="0"/>
        <v>279.76339285714289</v>
      </c>
      <c r="D32" s="33">
        <f t="shared" si="1"/>
        <v>195.96187086666671</v>
      </c>
      <c r="G32" s="135"/>
      <c r="H32" s="137"/>
      <c r="I32" s="139"/>
      <c r="J32" s="141"/>
      <c r="K32" s="63"/>
    </row>
    <row r="33" spans="1:11" ht="15" customHeight="1" thickBot="1" x14ac:dyDescent="0.25">
      <c r="A33" s="42">
        <v>10</v>
      </c>
      <c r="B33" s="33">
        <f>PRODUCT(PARAMETROS!B$5,A33)/A$3</f>
        <v>546.46366666666677</v>
      </c>
      <c r="C33" s="34">
        <f t="shared" si="0"/>
        <v>254.33035714285711</v>
      </c>
      <c r="D33" s="33">
        <f t="shared" si="1"/>
        <v>178.14715533333336</v>
      </c>
      <c r="G33" s="117" t="s">
        <v>68</v>
      </c>
      <c r="H33" s="118"/>
      <c r="I33" s="119"/>
      <c r="J33" s="75">
        <f>SUM(J31)</f>
        <v>0</v>
      </c>
      <c r="K33" s="63"/>
    </row>
    <row r="34" spans="1:11" ht="15" customHeight="1" x14ac:dyDescent="0.2">
      <c r="A34" s="42">
        <v>9</v>
      </c>
      <c r="B34" s="33">
        <f>PRODUCT(PARAMETROS!B$5,A34)/A$3</f>
        <v>491.81730000000005</v>
      </c>
      <c r="C34" s="34">
        <f t="shared" si="0"/>
        <v>228.89732142857142</v>
      </c>
      <c r="D34" s="33">
        <f t="shared" si="1"/>
        <v>160.33243980000003</v>
      </c>
      <c r="G34" s="62"/>
      <c r="H34" s="65"/>
      <c r="I34" s="63"/>
      <c r="J34" s="64"/>
      <c r="K34" s="63"/>
    </row>
    <row r="35" spans="1:11" ht="14.25" customHeight="1" x14ac:dyDescent="0.2">
      <c r="A35" s="42">
        <v>8</v>
      </c>
      <c r="B35" s="33">
        <f>PRODUCT(PARAMETROS!B$5,A35)/A$3</f>
        <v>437.17093333333344</v>
      </c>
      <c r="C35" s="34">
        <f t="shared" si="0"/>
        <v>203.46428571428569</v>
      </c>
      <c r="D35" s="33">
        <f t="shared" si="1"/>
        <v>142.5177242666667</v>
      </c>
      <c r="G35" s="173" t="s">
        <v>69</v>
      </c>
      <c r="H35" s="173"/>
      <c r="I35" s="173"/>
      <c r="J35" s="125" t="s">
        <v>70</v>
      </c>
      <c r="K35" s="104"/>
    </row>
    <row r="36" spans="1:11" ht="14.25" customHeight="1" x14ac:dyDescent="0.2">
      <c r="A36" s="42">
        <v>7</v>
      </c>
      <c r="B36" s="33">
        <f>PRODUCT(PARAMETROS!B$5,A36)/A$3</f>
        <v>382.52456666666677</v>
      </c>
      <c r="C36" s="34">
        <f t="shared" si="0"/>
        <v>178.03125</v>
      </c>
      <c r="D36" s="33">
        <f t="shared" si="1"/>
        <v>124.70300873333338</v>
      </c>
      <c r="G36" s="173"/>
      <c r="H36" s="173"/>
      <c r="I36" s="173"/>
      <c r="J36" s="125"/>
      <c r="K36" s="104"/>
    </row>
    <row r="37" spans="1:11" ht="14.25" x14ac:dyDescent="0.2">
      <c r="A37" s="42">
        <v>6</v>
      </c>
      <c r="B37" s="33">
        <f>PRODUCT(PARAMETROS!B$5,A37)/A$3</f>
        <v>327.87820000000005</v>
      </c>
      <c r="C37" s="34">
        <f t="shared" si="0"/>
        <v>152.59821428571428</v>
      </c>
      <c r="D37" s="33">
        <f t="shared" si="1"/>
        <v>106.88829320000002</v>
      </c>
    </row>
    <row r="38" spans="1:11" ht="14.25" x14ac:dyDescent="0.2">
      <c r="A38" s="42">
        <v>5</v>
      </c>
      <c r="B38" s="33">
        <f>PRODUCT(PARAMETROS!B$5,A38)/A$3</f>
        <v>273.23183333333338</v>
      </c>
      <c r="C38" s="34">
        <f t="shared" si="0"/>
        <v>127.16517857142856</v>
      </c>
      <c r="D38" s="33">
        <f t="shared" si="1"/>
        <v>89.073577666666679</v>
      </c>
    </row>
    <row r="39" spans="1:11" ht="14.25" x14ac:dyDescent="0.2">
      <c r="A39" s="42">
        <v>4</v>
      </c>
      <c r="B39" s="33">
        <f>PRODUCT(PARAMETROS!B$5,A39)/A$3</f>
        <v>218.58546666666672</v>
      </c>
      <c r="C39" s="34">
        <f t="shared" si="0"/>
        <v>101.73214285714285</v>
      </c>
      <c r="D39" s="33">
        <f t="shared" si="1"/>
        <v>71.258862133333352</v>
      </c>
    </row>
    <row r="40" spans="1:11" ht="14.25" x14ac:dyDescent="0.2">
      <c r="A40" s="42">
        <v>3</v>
      </c>
      <c r="B40" s="33">
        <f>PRODUCT(PARAMETROS!B$5,A40)/A$3</f>
        <v>163.93910000000002</v>
      </c>
      <c r="C40" s="34">
        <f t="shared" si="0"/>
        <v>76.299107142857139</v>
      </c>
      <c r="D40" s="33">
        <f t="shared" si="1"/>
        <v>53.44414660000001</v>
      </c>
    </row>
    <row r="41" spans="1:11" ht="14.25" x14ac:dyDescent="0.2">
      <c r="A41" s="42">
        <v>2</v>
      </c>
      <c r="B41" s="33">
        <f>PRODUCT(PARAMETROS!B$5,A41)/A$3</f>
        <v>109.29273333333336</v>
      </c>
      <c r="C41" s="34">
        <f t="shared" si="0"/>
        <v>50.866071428571423</v>
      </c>
      <c r="D41" s="33">
        <f t="shared" si="1"/>
        <v>35.629431066666676</v>
      </c>
    </row>
    <row r="42" spans="1:11" ht="15" thickBot="1" x14ac:dyDescent="0.25">
      <c r="A42" s="87">
        <v>1</v>
      </c>
      <c r="B42" s="36">
        <f>PRODUCT(PARAMETROS!B$5,A42)/A$3</f>
        <v>54.64636666666668</v>
      </c>
      <c r="C42" s="105">
        <f t="shared" si="0"/>
        <v>25.433035714285712</v>
      </c>
      <c r="D42" s="33">
        <f t="shared" si="1"/>
        <v>17.814715533333338</v>
      </c>
    </row>
    <row r="43" spans="1:11" x14ac:dyDescent="0.2">
      <c r="D43" s="110"/>
    </row>
    <row r="46" spans="1:11" s="58" customFormat="1" ht="43.5" hidden="1" thickBot="1" x14ac:dyDescent="0.25">
      <c r="A46" s="57"/>
      <c r="B46" s="52" t="s">
        <v>46</v>
      </c>
      <c r="C46" s="53">
        <v>6.33</v>
      </c>
      <c r="D46" s="57"/>
    </row>
  </sheetData>
  <sheetProtection algorithmName="SHA-512" hashValue="qKkKKLDK+KOgzz+TK2SFMC942V8cG2/rTm3oq5M80KcPwUcx+ZmfTpTv2qBXdNp26ltBkXI8wmszkUCE/BgkLg==" saltValue="IQ0j8s0kYnTPXVrAv1l0yA==" spinCount="100000" sheet="1" objects="1" scenarios="1"/>
  <protectedRanges>
    <protectedRange sqref="J7" name="RET TC_2"/>
    <protectedRange sqref="J22" name="DED_2"/>
    <protectedRange sqref="J25" name="RET TP_2"/>
    <protectedRange sqref="J35" name="CALCULO RC_2"/>
  </protectedRanges>
  <mergeCells count="36">
    <mergeCell ref="A1:A2"/>
    <mergeCell ref="G35:I36"/>
    <mergeCell ref="J35:J36"/>
    <mergeCell ref="D1:D2"/>
    <mergeCell ref="B1:B2"/>
    <mergeCell ref="C1:C2"/>
    <mergeCell ref="G1:I1"/>
    <mergeCell ref="J1:K1"/>
    <mergeCell ref="G3:G4"/>
    <mergeCell ref="H3:H4"/>
    <mergeCell ref="I3:I4"/>
    <mergeCell ref="J3:J4"/>
    <mergeCell ref="K3:K4"/>
    <mergeCell ref="G7:I8"/>
    <mergeCell ref="J7:J8"/>
    <mergeCell ref="G10:J11"/>
    <mergeCell ref="G13:G14"/>
    <mergeCell ref="H13:H14"/>
    <mergeCell ref="I13:I14"/>
    <mergeCell ref="G28:J29"/>
    <mergeCell ref="G31:G32"/>
    <mergeCell ref="H31:H32"/>
    <mergeCell ref="I31:I32"/>
    <mergeCell ref="J31:J32"/>
    <mergeCell ref="G15:G16"/>
    <mergeCell ref="H15:H16"/>
    <mergeCell ref="I15:I16"/>
    <mergeCell ref="J15:J16"/>
    <mergeCell ref="G17:H17"/>
    <mergeCell ref="J13:J14"/>
    <mergeCell ref="G33:I33"/>
    <mergeCell ref="G19:K20"/>
    <mergeCell ref="G22:I23"/>
    <mergeCell ref="J22:J23"/>
    <mergeCell ref="G25:I26"/>
    <mergeCell ref="J25:J26"/>
  </mergeCells>
  <phoneticPr fontId="0" type="noConversion"/>
  <hyperlinks>
    <hyperlink ref="J35:J36" r:id="rId1" display="CALCULO RC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0" workbookViewId="0">
      <selection activeCell="K21" sqref="K21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19.7109375" style="30" hidden="1" customWidth="1"/>
    <col min="4" max="4" width="17.28515625" bestFit="1" customWidth="1"/>
    <col min="5" max="5" width="6.85546875" customWidth="1"/>
    <col min="6" max="6" width="6.85546875" style="2" bestFit="1" customWidth="1"/>
    <col min="7" max="7" width="23.7109375" customWidth="1"/>
    <col min="8" max="8" width="20.85546875" customWidth="1"/>
    <col min="9" max="9" width="25" customWidth="1"/>
    <col min="10" max="10" width="21.140625" customWidth="1"/>
    <col min="11" max="11" width="19" customWidth="1"/>
  </cols>
  <sheetData>
    <row r="1" spans="1:11" ht="40.9" customHeight="1" x14ac:dyDescent="0.2">
      <c r="A1" s="171" t="s">
        <v>0</v>
      </c>
      <c r="B1" s="113" t="s">
        <v>72</v>
      </c>
      <c r="C1" s="174" t="s">
        <v>74</v>
      </c>
      <c r="D1" s="115" t="s">
        <v>71</v>
      </c>
      <c r="F1"/>
      <c r="G1" s="176" t="s">
        <v>47</v>
      </c>
      <c r="H1" s="177"/>
      <c r="I1" s="178"/>
      <c r="J1" s="176" t="s">
        <v>48</v>
      </c>
      <c r="K1" s="178"/>
    </row>
    <row r="2" spans="1:11" ht="23.25" thickBot="1" x14ac:dyDescent="0.25">
      <c r="A2" s="172"/>
      <c r="B2" s="114"/>
      <c r="C2" s="175"/>
      <c r="D2" s="116"/>
      <c r="F2"/>
      <c r="G2" s="60" t="s">
        <v>49</v>
      </c>
      <c r="H2" s="60" t="s">
        <v>50</v>
      </c>
      <c r="I2" s="60" t="s">
        <v>51</v>
      </c>
      <c r="J2" s="61" t="s">
        <v>52</v>
      </c>
      <c r="K2" s="60" t="s">
        <v>53</v>
      </c>
    </row>
    <row r="3" spans="1:11" ht="14.25" x14ac:dyDescent="0.2">
      <c r="A3" s="42">
        <v>40</v>
      </c>
      <c r="B3" s="33">
        <f>PARAMETROS!B6</f>
        <v>1877.2523333333334</v>
      </c>
      <c r="C3" s="107"/>
      <c r="D3" s="43"/>
      <c r="F3"/>
      <c r="G3" s="179">
        <v>7</v>
      </c>
      <c r="H3" s="181">
        <v>1050</v>
      </c>
      <c r="I3" s="181">
        <v>4070.1</v>
      </c>
      <c r="J3" s="183">
        <v>1050</v>
      </c>
      <c r="K3" s="183">
        <v>4070.1</v>
      </c>
    </row>
    <row r="4" spans="1:11" ht="14.25" x14ac:dyDescent="0.2">
      <c r="A4" s="42">
        <v>39</v>
      </c>
      <c r="B4" s="33">
        <f>PRODUCT(B$3,A4)/A$3</f>
        <v>1830.321025</v>
      </c>
      <c r="C4" s="34">
        <f>(A4/$A$3*7.5*5)/7*30*$C$46</f>
        <v>991.88839285714278</v>
      </c>
      <c r="D4" s="43">
        <f>IF(B4&lt;C4,C4*$I$17%,B4*$I$17%)</f>
        <v>596.68465415000003</v>
      </c>
      <c r="F4"/>
      <c r="G4" s="180"/>
      <c r="H4" s="182"/>
      <c r="I4" s="182"/>
      <c r="J4" s="184"/>
      <c r="K4" s="184"/>
    </row>
    <row r="5" spans="1:11" ht="14.25" x14ac:dyDescent="0.2">
      <c r="A5" s="42">
        <v>38</v>
      </c>
      <c r="B5" s="33">
        <f>PRODUCT(B$3,A5)/A$3</f>
        <v>1783.3897166666666</v>
      </c>
      <c r="C5" s="34">
        <f t="shared" ref="C5:C42" si="0">(A5/$A$3*7.5*5)/7*30*$C$46</f>
        <v>966.45535714285722</v>
      </c>
      <c r="D5" s="43">
        <f t="shared" ref="D5:D42" si="1">IF(B5&lt;C5,C5*$I$17%,B5*$I$17%)</f>
        <v>581.38504763333333</v>
      </c>
      <c r="F5"/>
      <c r="G5" s="62"/>
      <c r="H5" s="63"/>
      <c r="I5" s="63"/>
      <c r="J5" s="64"/>
      <c r="K5" s="63"/>
    </row>
    <row r="6" spans="1:11" ht="15" thickBot="1" x14ac:dyDescent="0.25">
      <c r="A6" s="42">
        <v>37</v>
      </c>
      <c r="B6" s="33">
        <f t="shared" ref="B6:B42" si="2">PRODUCT(B$3,A6)/A$3</f>
        <v>1736.4584083333334</v>
      </c>
      <c r="C6" s="34">
        <f t="shared" si="0"/>
        <v>941.02232142857156</v>
      </c>
      <c r="D6" s="43">
        <f t="shared" si="1"/>
        <v>566.08544111666674</v>
      </c>
      <c r="F6"/>
      <c r="G6" s="62"/>
      <c r="H6" s="65"/>
      <c r="I6" s="63"/>
      <c r="J6" s="64"/>
      <c r="K6" s="63"/>
    </row>
    <row r="7" spans="1:11" ht="14.25" customHeight="1" x14ac:dyDescent="0.2">
      <c r="A7" s="42">
        <v>36</v>
      </c>
      <c r="B7" s="33">
        <f t="shared" si="2"/>
        <v>1689.5271</v>
      </c>
      <c r="C7" s="34">
        <f t="shared" si="0"/>
        <v>915.58928571428567</v>
      </c>
      <c r="D7" s="43">
        <f t="shared" si="1"/>
        <v>550.78583460000004</v>
      </c>
      <c r="F7"/>
      <c r="G7" s="143" t="s">
        <v>54</v>
      </c>
      <c r="H7" s="143"/>
      <c r="I7" s="144"/>
      <c r="J7" s="168">
        <v>1877.25</v>
      </c>
      <c r="K7" s="63"/>
    </row>
    <row r="8" spans="1:11" ht="15.75" customHeight="1" thickBot="1" x14ac:dyDescent="0.25">
      <c r="A8" s="42">
        <v>35</v>
      </c>
      <c r="B8" s="33">
        <f t="shared" si="2"/>
        <v>1642.5957916666666</v>
      </c>
      <c r="C8" s="34">
        <f t="shared" si="0"/>
        <v>890.15625</v>
      </c>
      <c r="D8" s="43">
        <f t="shared" si="1"/>
        <v>535.48622808333334</v>
      </c>
      <c r="F8"/>
      <c r="G8" s="143"/>
      <c r="H8" s="143"/>
      <c r="I8" s="144"/>
      <c r="J8" s="169"/>
      <c r="K8" s="63"/>
    </row>
    <row r="9" spans="1:11" ht="15" thickBot="1" x14ac:dyDescent="0.25">
      <c r="A9" s="42">
        <v>34</v>
      </c>
      <c r="B9" s="33">
        <f t="shared" si="2"/>
        <v>1595.6644833333335</v>
      </c>
      <c r="C9" s="34">
        <f t="shared" si="0"/>
        <v>864.72321428571433</v>
      </c>
      <c r="D9" s="43">
        <f t="shared" si="1"/>
        <v>520.18662156666676</v>
      </c>
      <c r="F9"/>
      <c r="G9" s="66"/>
      <c r="H9" s="67"/>
      <c r="I9" s="68"/>
      <c r="J9" s="69"/>
      <c r="K9" s="63"/>
    </row>
    <row r="10" spans="1:11" ht="14.25" customHeight="1" x14ac:dyDescent="0.2">
      <c r="A10" s="42">
        <v>33</v>
      </c>
      <c r="B10" s="33">
        <f t="shared" si="2"/>
        <v>1548.7331749999998</v>
      </c>
      <c r="C10" s="34">
        <f t="shared" si="0"/>
        <v>839.29017857142844</v>
      </c>
      <c r="D10" s="43">
        <f t="shared" si="1"/>
        <v>504.88701504999995</v>
      </c>
      <c r="F10"/>
      <c r="G10" s="128" t="s">
        <v>55</v>
      </c>
      <c r="H10" s="129"/>
      <c r="I10" s="129"/>
      <c r="J10" s="130"/>
      <c r="K10" s="63"/>
    </row>
    <row r="11" spans="1:11" ht="15" thickBot="1" x14ac:dyDescent="0.25">
      <c r="A11" s="42">
        <v>32</v>
      </c>
      <c r="B11" s="33">
        <f t="shared" si="2"/>
        <v>1501.8018666666667</v>
      </c>
      <c r="C11" s="34">
        <f t="shared" si="0"/>
        <v>813.85714285714278</v>
      </c>
      <c r="D11" s="43">
        <f t="shared" si="1"/>
        <v>489.58740853333336</v>
      </c>
      <c r="F11"/>
      <c r="G11" s="131"/>
      <c r="H11" s="132"/>
      <c r="I11" s="132"/>
      <c r="J11" s="133"/>
      <c r="K11" s="63"/>
    </row>
    <row r="12" spans="1:11" ht="15" thickBot="1" x14ac:dyDescent="0.25">
      <c r="A12" s="42">
        <v>31</v>
      </c>
      <c r="B12" s="33">
        <f t="shared" si="2"/>
        <v>1454.8705583333335</v>
      </c>
      <c r="C12" s="34">
        <f t="shared" si="0"/>
        <v>788.42410714285711</v>
      </c>
      <c r="D12" s="43">
        <f t="shared" si="1"/>
        <v>474.28780201666672</v>
      </c>
      <c r="F12"/>
      <c r="G12" s="70"/>
      <c r="H12" s="81" t="s">
        <v>56</v>
      </c>
      <c r="I12" s="72" t="s">
        <v>57</v>
      </c>
      <c r="J12" s="103" t="s">
        <v>58</v>
      </c>
      <c r="K12" s="63"/>
    </row>
    <row r="13" spans="1:11" ht="14.25" x14ac:dyDescent="0.2">
      <c r="A13" s="42">
        <v>30</v>
      </c>
      <c r="B13" s="33">
        <f t="shared" si="2"/>
        <v>1407.9392499999999</v>
      </c>
      <c r="C13" s="34">
        <f t="shared" si="0"/>
        <v>762.99107142857144</v>
      </c>
      <c r="D13" s="43">
        <f t="shared" si="1"/>
        <v>458.98819549999996</v>
      </c>
      <c r="F13"/>
      <c r="G13" s="149" t="s">
        <v>59</v>
      </c>
      <c r="H13" s="120">
        <f>IF(J7&gt;=H3,J7,H3)</f>
        <v>1877.25</v>
      </c>
      <c r="I13" s="138">
        <v>23.6</v>
      </c>
      <c r="J13" s="140">
        <f>H13*I13%</f>
        <v>443.03100000000001</v>
      </c>
      <c r="K13" s="63"/>
    </row>
    <row r="14" spans="1:11" ht="15" thickBot="1" x14ac:dyDescent="0.25">
      <c r="A14" s="42">
        <v>29</v>
      </c>
      <c r="B14" s="33">
        <f t="shared" si="2"/>
        <v>1361.0079416666667</v>
      </c>
      <c r="C14" s="34">
        <f t="shared" si="0"/>
        <v>737.55803571428578</v>
      </c>
      <c r="D14" s="43">
        <f t="shared" si="1"/>
        <v>443.68858898333337</v>
      </c>
      <c r="F14"/>
      <c r="G14" s="150"/>
      <c r="H14" s="121"/>
      <c r="I14" s="139"/>
      <c r="J14" s="141"/>
      <c r="K14" s="63"/>
    </row>
    <row r="15" spans="1:11" ht="14.25" x14ac:dyDescent="0.2">
      <c r="A15" s="42">
        <v>28</v>
      </c>
      <c r="B15" s="33">
        <f t="shared" si="2"/>
        <v>1314.0766333333333</v>
      </c>
      <c r="C15" s="34">
        <f t="shared" si="0"/>
        <v>712.125</v>
      </c>
      <c r="D15" s="43">
        <f t="shared" si="1"/>
        <v>428.38898246666668</v>
      </c>
      <c r="F15"/>
      <c r="G15" s="149" t="s">
        <v>60</v>
      </c>
      <c r="H15" s="120">
        <f>IF(J7&gt;=J3,J7,J3)</f>
        <v>1877.25</v>
      </c>
      <c r="I15" s="138">
        <v>9</v>
      </c>
      <c r="J15" s="140">
        <f>H15*I15%</f>
        <v>168.95249999999999</v>
      </c>
      <c r="K15" s="63"/>
    </row>
    <row r="16" spans="1:11" ht="15" thickBot="1" x14ac:dyDescent="0.25">
      <c r="A16" s="42">
        <v>27</v>
      </c>
      <c r="B16" s="33">
        <f t="shared" si="2"/>
        <v>1267.145325</v>
      </c>
      <c r="C16" s="34">
        <f t="shared" si="0"/>
        <v>686.69196428571422</v>
      </c>
      <c r="D16" s="43">
        <f t="shared" si="1"/>
        <v>413.08937594999998</v>
      </c>
      <c r="F16"/>
      <c r="G16" s="150"/>
      <c r="H16" s="121"/>
      <c r="I16" s="139"/>
      <c r="J16" s="141"/>
      <c r="K16" s="63"/>
    </row>
    <row r="17" spans="1:11" ht="15" customHeight="1" thickBot="1" x14ac:dyDescent="0.25">
      <c r="A17" s="42">
        <v>26</v>
      </c>
      <c r="B17" s="33">
        <f t="shared" si="2"/>
        <v>1220.2140166666666</v>
      </c>
      <c r="C17" s="34">
        <f t="shared" si="0"/>
        <v>661.25892857142867</v>
      </c>
      <c r="D17" s="43">
        <f t="shared" si="1"/>
        <v>397.78976943333333</v>
      </c>
      <c r="F17"/>
      <c r="G17" s="152" t="s">
        <v>61</v>
      </c>
      <c r="H17" s="153"/>
      <c r="I17" s="74">
        <f>(I13+I15)</f>
        <v>32.6</v>
      </c>
      <c r="J17" s="75">
        <f>SUM(J13:J16)</f>
        <v>611.98350000000005</v>
      </c>
      <c r="K17" s="63"/>
    </row>
    <row r="18" spans="1:11" ht="14.25" x14ac:dyDescent="0.2">
      <c r="A18" s="42">
        <v>25</v>
      </c>
      <c r="B18" s="33">
        <f t="shared" si="2"/>
        <v>1173.2827083333334</v>
      </c>
      <c r="C18" s="34">
        <f t="shared" si="0"/>
        <v>635.82589285714289</v>
      </c>
      <c r="D18" s="43">
        <f t="shared" si="1"/>
        <v>382.49016291666669</v>
      </c>
      <c r="F18"/>
      <c r="G18" s="76"/>
      <c r="H18" s="77"/>
      <c r="I18" s="78"/>
      <c r="J18" s="79"/>
      <c r="K18" s="63"/>
    </row>
    <row r="19" spans="1:11" ht="14.25" customHeight="1" x14ac:dyDescent="0.2">
      <c r="A19" s="42">
        <v>24</v>
      </c>
      <c r="B19" s="33">
        <f t="shared" si="2"/>
        <v>1126.3514</v>
      </c>
      <c r="C19" s="34">
        <f t="shared" si="0"/>
        <v>610.39285714285711</v>
      </c>
      <c r="D19" s="43">
        <f t="shared" si="1"/>
        <v>367.19055639999999</v>
      </c>
      <c r="F19"/>
      <c r="G19" s="142" t="s">
        <v>73</v>
      </c>
      <c r="H19" s="142"/>
      <c r="I19" s="142"/>
      <c r="J19" s="142"/>
      <c r="K19" s="142"/>
    </row>
    <row r="20" spans="1:11" ht="14.25" x14ac:dyDescent="0.2">
      <c r="A20" s="42">
        <v>23</v>
      </c>
      <c r="B20" s="33">
        <f t="shared" si="2"/>
        <v>1079.4200916666666</v>
      </c>
      <c r="C20" s="34">
        <f t="shared" si="0"/>
        <v>584.95982142857133</v>
      </c>
      <c r="D20" s="43">
        <f t="shared" si="1"/>
        <v>351.89094988333335</v>
      </c>
      <c r="F20"/>
      <c r="G20" s="142"/>
      <c r="H20" s="142"/>
      <c r="I20" s="142"/>
      <c r="J20" s="142"/>
      <c r="K20" s="142"/>
    </row>
    <row r="21" spans="1:11" ht="15" thickBot="1" x14ac:dyDescent="0.25">
      <c r="A21" s="42">
        <v>22</v>
      </c>
      <c r="B21" s="33">
        <f t="shared" si="2"/>
        <v>1032.4887833333335</v>
      </c>
      <c r="C21" s="34">
        <f t="shared" si="0"/>
        <v>559.52678571428578</v>
      </c>
      <c r="D21" s="43">
        <f t="shared" si="1"/>
        <v>336.59134336666671</v>
      </c>
      <c r="F21"/>
      <c r="G21" s="62"/>
      <c r="H21" s="65"/>
      <c r="I21" s="63"/>
      <c r="J21" s="64"/>
      <c r="K21" s="63"/>
    </row>
    <row r="22" spans="1:11" ht="14.25" customHeight="1" x14ac:dyDescent="0.2">
      <c r="A22" s="42">
        <v>21</v>
      </c>
      <c r="B22" s="33">
        <f t="shared" si="2"/>
        <v>985.55747499999995</v>
      </c>
      <c r="C22" s="34">
        <f t="shared" si="0"/>
        <v>534.09375</v>
      </c>
      <c r="D22" s="43">
        <f t="shared" si="1"/>
        <v>321.29173685000001</v>
      </c>
      <c r="F22"/>
      <c r="G22" s="143" t="s">
        <v>63</v>
      </c>
      <c r="H22" s="143"/>
      <c r="I22" s="144"/>
      <c r="J22" s="166">
        <v>0</v>
      </c>
      <c r="K22" s="63"/>
    </row>
    <row r="23" spans="1:11" ht="15" thickBot="1" x14ac:dyDescent="0.25">
      <c r="A23" s="42">
        <v>20</v>
      </c>
      <c r="B23" s="33">
        <f t="shared" si="2"/>
        <v>938.62616666666668</v>
      </c>
      <c r="C23" s="34">
        <f t="shared" si="0"/>
        <v>508.66071428571422</v>
      </c>
      <c r="D23" s="43">
        <f t="shared" si="1"/>
        <v>305.99213033333336</v>
      </c>
      <c r="F23"/>
      <c r="G23" s="143"/>
      <c r="H23" s="143"/>
      <c r="I23" s="144"/>
      <c r="J23" s="167"/>
      <c r="K23" s="63"/>
    </row>
    <row r="24" spans="1:11" ht="15" thickBot="1" x14ac:dyDescent="0.25">
      <c r="A24" s="42">
        <v>19</v>
      </c>
      <c r="B24" s="33">
        <f t="shared" si="2"/>
        <v>891.69485833333329</v>
      </c>
      <c r="C24" s="34">
        <f t="shared" si="0"/>
        <v>483.22767857142861</v>
      </c>
      <c r="D24" s="43">
        <f t="shared" si="1"/>
        <v>290.69252381666666</v>
      </c>
      <c r="F24"/>
      <c r="G24" s="62"/>
      <c r="H24" s="65"/>
      <c r="I24" s="63"/>
      <c r="J24" s="64"/>
      <c r="K24" s="63"/>
    </row>
    <row r="25" spans="1:11" ht="14.25" customHeight="1" x14ac:dyDescent="0.2">
      <c r="A25" s="42">
        <v>18</v>
      </c>
      <c r="B25" s="33">
        <f t="shared" si="2"/>
        <v>844.76355000000001</v>
      </c>
      <c r="C25" s="34">
        <f t="shared" si="0"/>
        <v>457.79464285714283</v>
      </c>
      <c r="D25" s="43">
        <f t="shared" si="1"/>
        <v>275.39291730000002</v>
      </c>
      <c r="F25"/>
      <c r="G25" s="143" t="s">
        <v>64</v>
      </c>
      <c r="H25" s="143"/>
      <c r="I25" s="144"/>
      <c r="J25" s="168">
        <v>0</v>
      </c>
      <c r="K25" s="63"/>
    </row>
    <row r="26" spans="1:11" ht="15" thickBot="1" x14ac:dyDescent="0.25">
      <c r="A26" s="42">
        <v>17</v>
      </c>
      <c r="B26" s="33">
        <f t="shared" si="2"/>
        <v>797.83224166666673</v>
      </c>
      <c r="C26" s="34">
        <f t="shared" si="0"/>
        <v>432.36160714285717</v>
      </c>
      <c r="D26" s="43">
        <f t="shared" si="1"/>
        <v>260.09331078333338</v>
      </c>
      <c r="F26"/>
      <c r="G26" s="143"/>
      <c r="H26" s="143"/>
      <c r="I26" s="144"/>
      <c r="J26" s="169"/>
      <c r="K26" s="63"/>
    </row>
    <row r="27" spans="1:11" ht="15" thickBot="1" x14ac:dyDescent="0.25">
      <c r="A27" s="42">
        <v>16</v>
      </c>
      <c r="B27" s="33">
        <f t="shared" si="2"/>
        <v>750.90093333333334</v>
      </c>
      <c r="C27" s="34">
        <f t="shared" si="0"/>
        <v>406.92857142857139</v>
      </c>
      <c r="D27" s="43">
        <f t="shared" si="1"/>
        <v>244.79370426666668</v>
      </c>
      <c r="F27"/>
      <c r="G27" s="62"/>
      <c r="H27" s="65"/>
      <c r="I27" s="63"/>
      <c r="J27" s="64"/>
      <c r="K27" s="63"/>
    </row>
    <row r="28" spans="1:11" ht="14.25" customHeight="1" x14ac:dyDescent="0.2">
      <c r="A28" s="42">
        <v>15</v>
      </c>
      <c r="B28" s="33">
        <f t="shared" si="2"/>
        <v>703.96962499999995</v>
      </c>
      <c r="C28" s="34">
        <f t="shared" si="0"/>
        <v>381.49553571428572</v>
      </c>
      <c r="D28" s="43">
        <f t="shared" si="1"/>
        <v>229.49409774999998</v>
      </c>
      <c r="F28"/>
      <c r="G28" s="128" t="s">
        <v>65</v>
      </c>
      <c r="H28" s="129"/>
      <c r="I28" s="129"/>
      <c r="J28" s="130"/>
      <c r="K28" s="63"/>
    </row>
    <row r="29" spans="1:11" ht="15" thickBot="1" x14ac:dyDescent="0.25">
      <c r="A29" s="42">
        <v>14</v>
      </c>
      <c r="B29" s="33">
        <f t="shared" si="2"/>
        <v>657.03831666666667</v>
      </c>
      <c r="C29" s="34">
        <f t="shared" si="0"/>
        <v>356.0625</v>
      </c>
      <c r="D29" s="43">
        <f t="shared" si="1"/>
        <v>214.19449123333334</v>
      </c>
      <c r="F29"/>
      <c r="G29" s="131"/>
      <c r="H29" s="132"/>
      <c r="I29" s="132"/>
      <c r="J29" s="133"/>
      <c r="K29" s="63"/>
    </row>
    <row r="30" spans="1:11" ht="15" thickBot="1" x14ac:dyDescent="0.25">
      <c r="A30" s="42">
        <v>13</v>
      </c>
      <c r="B30" s="33">
        <f t="shared" si="2"/>
        <v>610.10700833333328</v>
      </c>
      <c r="C30" s="34">
        <f t="shared" si="0"/>
        <v>330.62946428571433</v>
      </c>
      <c r="D30" s="43">
        <f t="shared" si="1"/>
        <v>198.89488471666667</v>
      </c>
      <c r="F30"/>
      <c r="G30" s="80" t="s">
        <v>66</v>
      </c>
      <c r="H30" s="81" t="s">
        <v>56</v>
      </c>
      <c r="I30" s="72" t="s">
        <v>67</v>
      </c>
      <c r="J30" s="73" t="s">
        <v>58</v>
      </c>
      <c r="K30" s="63"/>
    </row>
    <row r="31" spans="1:11" ht="14.25" x14ac:dyDescent="0.2">
      <c r="A31" s="42">
        <v>12</v>
      </c>
      <c r="B31" s="33">
        <f t="shared" si="2"/>
        <v>563.17570000000001</v>
      </c>
      <c r="C31" s="34">
        <f t="shared" si="0"/>
        <v>305.19642857142856</v>
      </c>
      <c r="D31" s="43">
        <f t="shared" si="1"/>
        <v>183.5952782</v>
      </c>
      <c r="F31"/>
      <c r="G31" s="170">
        <f>(J22/40*7.5*5)/7*30*$C$46</f>
        <v>0</v>
      </c>
      <c r="H31" s="136">
        <f>IF(J25&lt;G31,G31,J25)</f>
        <v>0</v>
      </c>
      <c r="I31" s="138">
        <v>32.6</v>
      </c>
      <c r="J31" s="140">
        <f>H31*I31%</f>
        <v>0</v>
      </c>
      <c r="K31" s="63"/>
    </row>
    <row r="32" spans="1:11" ht="15" thickBot="1" x14ac:dyDescent="0.25">
      <c r="A32" s="42">
        <v>11</v>
      </c>
      <c r="B32" s="33">
        <f t="shared" si="2"/>
        <v>516.24439166666673</v>
      </c>
      <c r="C32" s="34">
        <f t="shared" si="0"/>
        <v>279.76339285714289</v>
      </c>
      <c r="D32" s="43">
        <f t="shared" si="1"/>
        <v>168.29567168333335</v>
      </c>
      <c r="F32"/>
      <c r="G32" s="135"/>
      <c r="H32" s="137"/>
      <c r="I32" s="139"/>
      <c r="J32" s="141"/>
      <c r="K32" s="63"/>
    </row>
    <row r="33" spans="1:11" ht="15" customHeight="1" thickBot="1" x14ac:dyDescent="0.25">
      <c r="A33" s="42">
        <v>10</v>
      </c>
      <c r="B33" s="33">
        <f t="shared" si="2"/>
        <v>469.31308333333334</v>
      </c>
      <c r="C33" s="34">
        <f t="shared" si="0"/>
        <v>254.33035714285711</v>
      </c>
      <c r="D33" s="43">
        <f t="shared" si="1"/>
        <v>152.99606516666668</v>
      </c>
      <c r="F33"/>
      <c r="G33" s="117" t="s">
        <v>68</v>
      </c>
      <c r="H33" s="118"/>
      <c r="I33" s="119"/>
      <c r="J33" s="75">
        <f>SUM(J31)</f>
        <v>0</v>
      </c>
      <c r="K33" s="63"/>
    </row>
    <row r="34" spans="1:11" ht="14.25" x14ac:dyDescent="0.2">
      <c r="A34" s="42">
        <v>9</v>
      </c>
      <c r="B34" s="33">
        <f t="shared" si="2"/>
        <v>422.381775</v>
      </c>
      <c r="C34" s="34">
        <f t="shared" si="0"/>
        <v>228.89732142857142</v>
      </c>
      <c r="D34" s="43">
        <f t="shared" si="1"/>
        <v>137.69645865000001</v>
      </c>
      <c r="F34"/>
      <c r="G34" s="62"/>
      <c r="H34" s="65"/>
      <c r="I34" s="63"/>
      <c r="J34" s="64"/>
      <c r="K34" s="63"/>
    </row>
    <row r="35" spans="1:11" ht="14.25" customHeight="1" x14ac:dyDescent="0.2">
      <c r="A35" s="42">
        <v>8</v>
      </c>
      <c r="B35" s="33">
        <f t="shared" si="2"/>
        <v>375.45046666666667</v>
      </c>
      <c r="C35" s="34">
        <f t="shared" si="0"/>
        <v>203.46428571428569</v>
      </c>
      <c r="D35" s="43">
        <f t="shared" si="1"/>
        <v>122.39685213333334</v>
      </c>
      <c r="F35" s="13"/>
      <c r="G35" s="173" t="s">
        <v>69</v>
      </c>
      <c r="H35" s="173"/>
      <c r="I35" s="173"/>
      <c r="J35" s="125" t="s">
        <v>70</v>
      </c>
      <c r="K35" s="104"/>
    </row>
    <row r="36" spans="1:11" ht="14.25" x14ac:dyDescent="0.2">
      <c r="A36" s="42">
        <v>7</v>
      </c>
      <c r="B36" s="33">
        <f t="shared" si="2"/>
        <v>328.51915833333334</v>
      </c>
      <c r="C36" s="34">
        <f t="shared" si="0"/>
        <v>178.03125</v>
      </c>
      <c r="D36" s="43">
        <f t="shared" si="1"/>
        <v>107.09724561666667</v>
      </c>
      <c r="F36"/>
      <c r="G36" s="173"/>
      <c r="H36" s="173"/>
      <c r="I36" s="173"/>
      <c r="J36" s="125"/>
      <c r="K36" s="104"/>
    </row>
    <row r="37" spans="1:11" ht="14.25" x14ac:dyDescent="0.2">
      <c r="A37" s="42">
        <v>6</v>
      </c>
      <c r="B37" s="33">
        <f t="shared" si="2"/>
        <v>281.58785</v>
      </c>
      <c r="C37" s="34">
        <f t="shared" si="0"/>
        <v>152.59821428571428</v>
      </c>
      <c r="D37" s="43">
        <f t="shared" si="1"/>
        <v>91.797639099999998</v>
      </c>
      <c r="F37"/>
    </row>
    <row r="38" spans="1:11" ht="14.25" x14ac:dyDescent="0.2">
      <c r="A38" s="42">
        <v>5</v>
      </c>
      <c r="B38" s="33">
        <f t="shared" si="2"/>
        <v>234.65654166666667</v>
      </c>
      <c r="C38" s="34">
        <f t="shared" si="0"/>
        <v>127.16517857142856</v>
      </c>
      <c r="D38" s="43">
        <f t="shared" si="1"/>
        <v>76.498032583333341</v>
      </c>
      <c r="F38"/>
    </row>
    <row r="39" spans="1:11" ht="14.25" x14ac:dyDescent="0.2">
      <c r="A39" s="42">
        <v>4</v>
      </c>
      <c r="B39" s="33">
        <f t="shared" si="2"/>
        <v>187.72523333333334</v>
      </c>
      <c r="C39" s="34">
        <f t="shared" si="0"/>
        <v>101.73214285714285</v>
      </c>
      <c r="D39" s="43">
        <f t="shared" si="1"/>
        <v>61.19842606666667</v>
      </c>
      <c r="F39"/>
    </row>
    <row r="40" spans="1:11" ht="14.25" x14ac:dyDescent="0.2">
      <c r="A40" s="42">
        <v>3</v>
      </c>
      <c r="B40" s="33">
        <f t="shared" si="2"/>
        <v>140.793925</v>
      </c>
      <c r="C40" s="34">
        <f t="shared" si="0"/>
        <v>76.299107142857139</v>
      </c>
      <c r="D40" s="43">
        <f t="shared" si="1"/>
        <v>45.898819549999999</v>
      </c>
      <c r="F40"/>
    </row>
    <row r="41" spans="1:11" ht="14.25" x14ac:dyDescent="0.2">
      <c r="A41" s="42">
        <v>2</v>
      </c>
      <c r="B41" s="33">
        <f t="shared" si="2"/>
        <v>93.862616666666668</v>
      </c>
      <c r="C41" s="34">
        <f t="shared" si="0"/>
        <v>50.866071428571423</v>
      </c>
      <c r="D41" s="43">
        <f t="shared" si="1"/>
        <v>30.599213033333335</v>
      </c>
      <c r="F41"/>
    </row>
    <row r="42" spans="1:11" ht="14.25" x14ac:dyDescent="0.2">
      <c r="A42" s="42">
        <v>1</v>
      </c>
      <c r="B42" s="44">
        <f t="shared" si="2"/>
        <v>46.931308333333334</v>
      </c>
      <c r="C42" s="106">
        <f t="shared" si="0"/>
        <v>25.433035714285712</v>
      </c>
      <c r="D42" s="45">
        <f t="shared" si="1"/>
        <v>15.299606516666667</v>
      </c>
      <c r="F42"/>
    </row>
    <row r="46" spans="1:11" s="58" customFormat="1" ht="29.25" hidden="1" thickBot="1" x14ac:dyDescent="0.25">
      <c r="A46" s="57"/>
      <c r="B46" s="52" t="s">
        <v>43</v>
      </c>
      <c r="C46" s="53">
        <v>6.33</v>
      </c>
      <c r="F46" s="59"/>
    </row>
  </sheetData>
  <sheetProtection algorithmName="SHA-512" hashValue="/KOQ19WKgL2DGeLsusFF1yobvrzAvrqWfO+y/FLW0S8rZWDOfOkxAXC2BqHDkUxHeTM5BCor19atGHL2tzsMbg==" saltValue="l6oBil/rw2T75/XsQNbi0A==" spinCount="100000" sheet="1" objects="1" scenarios="1"/>
  <protectedRanges>
    <protectedRange sqref="J7" name="RET TC_2_1"/>
    <protectedRange sqref="J22" name="DED_2_1"/>
    <protectedRange sqref="J25" name="RET TP_2_1"/>
    <protectedRange sqref="J35" name="CALCULO RC_2_1"/>
  </protectedRanges>
  <mergeCells count="36">
    <mergeCell ref="G33:I33"/>
    <mergeCell ref="G35:I36"/>
    <mergeCell ref="J35:J36"/>
    <mergeCell ref="G28:J29"/>
    <mergeCell ref="G31:G32"/>
    <mergeCell ref="H31:H32"/>
    <mergeCell ref="I31:I32"/>
    <mergeCell ref="J31:J32"/>
    <mergeCell ref="G19:K20"/>
    <mergeCell ref="G22:I23"/>
    <mergeCell ref="J22:J23"/>
    <mergeCell ref="G25:I26"/>
    <mergeCell ref="J25:J26"/>
    <mergeCell ref="G15:G16"/>
    <mergeCell ref="H15:H16"/>
    <mergeCell ref="I15:I16"/>
    <mergeCell ref="J15:J16"/>
    <mergeCell ref="G17:H17"/>
    <mergeCell ref="G7:I8"/>
    <mergeCell ref="J7:J8"/>
    <mergeCell ref="G10:J11"/>
    <mergeCell ref="G13:G14"/>
    <mergeCell ref="H13:H14"/>
    <mergeCell ref="I13:I14"/>
    <mergeCell ref="J13:J14"/>
    <mergeCell ref="J1:K1"/>
    <mergeCell ref="G3:G4"/>
    <mergeCell ref="H3:H4"/>
    <mergeCell ref="I3:I4"/>
    <mergeCell ref="J3:J4"/>
    <mergeCell ref="K3:K4"/>
    <mergeCell ref="A1:A2"/>
    <mergeCell ref="B1:B2"/>
    <mergeCell ref="C1:C2"/>
    <mergeCell ref="D1:D2"/>
    <mergeCell ref="G1:I1"/>
  </mergeCells>
  <phoneticPr fontId="0" type="noConversion"/>
  <hyperlinks>
    <hyperlink ref="J35:J36" r:id="rId1" display="CALCULO RC"/>
  </hyperlink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J9" sqref="J9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21.7109375" style="30" hidden="1" customWidth="1"/>
    <col min="4" max="4" width="19.85546875" style="1" customWidth="1"/>
    <col min="5" max="5" width="6.85546875" customWidth="1"/>
    <col min="6" max="6" width="6.85546875" style="2" bestFit="1" customWidth="1"/>
    <col min="7" max="7" width="22" customWidth="1"/>
    <col min="8" max="8" width="24.42578125" customWidth="1"/>
    <col min="9" max="9" width="25.140625" customWidth="1"/>
    <col min="10" max="10" width="18.5703125" customWidth="1"/>
    <col min="11" max="11" width="19.42578125" customWidth="1"/>
  </cols>
  <sheetData>
    <row r="1" spans="1:11" ht="40.9" customHeight="1" x14ac:dyDescent="0.2">
      <c r="A1" s="171" t="s">
        <v>0</v>
      </c>
      <c r="B1" s="113" t="s">
        <v>72</v>
      </c>
      <c r="C1" s="174" t="s">
        <v>74</v>
      </c>
      <c r="D1" s="115" t="s">
        <v>71</v>
      </c>
      <c r="F1"/>
      <c r="G1" s="176" t="s">
        <v>47</v>
      </c>
      <c r="H1" s="177"/>
      <c r="I1" s="178"/>
      <c r="J1" s="176" t="s">
        <v>48</v>
      </c>
      <c r="K1" s="178"/>
    </row>
    <row r="2" spans="1:11" ht="23.25" thickBot="1" x14ac:dyDescent="0.25">
      <c r="A2" s="185"/>
      <c r="B2" s="114"/>
      <c r="C2" s="127"/>
      <c r="D2" s="116"/>
      <c r="F2"/>
      <c r="G2" s="60" t="s">
        <v>49</v>
      </c>
      <c r="H2" s="60" t="s">
        <v>50</v>
      </c>
      <c r="I2" s="60" t="s">
        <v>51</v>
      </c>
      <c r="J2" s="61" t="s">
        <v>52</v>
      </c>
      <c r="K2" s="60" t="s">
        <v>53</v>
      </c>
    </row>
    <row r="3" spans="1:11" ht="14.25" x14ac:dyDescent="0.2">
      <c r="A3" s="109">
        <v>40</v>
      </c>
      <c r="B3" s="33">
        <f>PARAMETROS!G34</f>
        <v>1801.8443333333332</v>
      </c>
      <c r="C3" s="34"/>
      <c r="D3" s="33"/>
      <c r="F3"/>
      <c r="G3" s="179">
        <v>7</v>
      </c>
      <c r="H3" s="181">
        <v>1050</v>
      </c>
      <c r="I3" s="181">
        <v>4070.1</v>
      </c>
      <c r="J3" s="183">
        <v>1050</v>
      </c>
      <c r="K3" s="183">
        <v>4070.1</v>
      </c>
    </row>
    <row r="4" spans="1:11" ht="14.25" x14ac:dyDescent="0.2">
      <c r="A4" s="42">
        <v>39</v>
      </c>
      <c r="B4" s="33">
        <f>PRODUCT(B$3,A4)/A$3</f>
        <v>1756.7982249999998</v>
      </c>
      <c r="C4" s="34">
        <f>(A4/$A$3*7.5*5)/7*30*$C$46</f>
        <v>991.88839285714278</v>
      </c>
      <c r="D4" s="33">
        <f>IF(B4&lt;C4,C4*$I$17%,B4*$I$17%)</f>
        <v>572.71622134999996</v>
      </c>
      <c r="F4"/>
      <c r="G4" s="180"/>
      <c r="H4" s="182"/>
      <c r="I4" s="182"/>
      <c r="J4" s="184"/>
      <c r="K4" s="184"/>
    </row>
    <row r="5" spans="1:11" ht="14.25" x14ac:dyDescent="0.2">
      <c r="A5" s="42">
        <v>38</v>
      </c>
      <c r="B5" s="33">
        <f>PRODUCT(B$3,A5)/A$3</f>
        <v>1711.7521166666666</v>
      </c>
      <c r="C5" s="34">
        <f t="shared" ref="C5:C42" si="0">(A5/$A$3*7.5*5)/7*30*$C$46</f>
        <v>966.45535714285722</v>
      </c>
      <c r="D5" s="33">
        <f t="shared" ref="D5:D42" si="1">IF(B5&lt;C5,C5*$I$17%,B5*$I$17%)</f>
        <v>558.03119003333336</v>
      </c>
      <c r="F5"/>
      <c r="G5" s="62"/>
      <c r="H5" s="63"/>
      <c r="I5" s="63"/>
      <c r="J5" s="64"/>
      <c r="K5" s="63"/>
    </row>
    <row r="6" spans="1:11" ht="15" thickBot="1" x14ac:dyDescent="0.25">
      <c r="A6" s="42">
        <v>37</v>
      </c>
      <c r="B6" s="33">
        <f t="shared" ref="B6:B42" si="2">PRODUCT(B$3,A6)/A$3</f>
        <v>1666.7060083333333</v>
      </c>
      <c r="C6" s="34">
        <f t="shared" si="0"/>
        <v>941.02232142857156</v>
      </c>
      <c r="D6" s="33">
        <f t="shared" si="1"/>
        <v>543.34615871666665</v>
      </c>
      <c r="F6"/>
      <c r="G6" s="62"/>
      <c r="H6" s="65"/>
      <c r="I6" s="63"/>
      <c r="J6" s="64"/>
      <c r="K6" s="63"/>
    </row>
    <row r="7" spans="1:11" ht="14.25" x14ac:dyDescent="0.2">
      <c r="A7" s="42">
        <v>36</v>
      </c>
      <c r="B7" s="33">
        <f t="shared" si="2"/>
        <v>1621.6598999999999</v>
      </c>
      <c r="C7" s="34">
        <f t="shared" si="0"/>
        <v>915.58928571428567</v>
      </c>
      <c r="D7" s="33">
        <f t="shared" si="1"/>
        <v>528.66112739999994</v>
      </c>
      <c r="F7"/>
      <c r="G7" s="143" t="s">
        <v>54</v>
      </c>
      <c r="H7" s="143"/>
      <c r="I7" s="144"/>
      <c r="J7" s="168">
        <v>1801.84</v>
      </c>
      <c r="K7" s="63"/>
    </row>
    <row r="8" spans="1:11" ht="15" thickBot="1" x14ac:dyDescent="0.25">
      <c r="A8" s="42">
        <v>35</v>
      </c>
      <c r="B8" s="33">
        <f t="shared" si="2"/>
        <v>1576.6137916666667</v>
      </c>
      <c r="C8" s="34">
        <f t="shared" si="0"/>
        <v>890.15625</v>
      </c>
      <c r="D8" s="33">
        <f t="shared" si="1"/>
        <v>513.97609608333335</v>
      </c>
      <c r="F8"/>
      <c r="G8" s="143"/>
      <c r="H8" s="143"/>
      <c r="I8" s="144"/>
      <c r="J8" s="169"/>
      <c r="K8" s="63"/>
    </row>
    <row r="9" spans="1:11" ht="15" thickBot="1" x14ac:dyDescent="0.25">
      <c r="A9" s="42">
        <v>34</v>
      </c>
      <c r="B9" s="33">
        <f t="shared" si="2"/>
        <v>1531.5676833333332</v>
      </c>
      <c r="C9" s="34">
        <f t="shared" si="0"/>
        <v>864.72321428571433</v>
      </c>
      <c r="D9" s="33">
        <f t="shared" si="1"/>
        <v>499.29106476666664</v>
      </c>
      <c r="F9"/>
      <c r="G9" s="66"/>
      <c r="H9" s="67"/>
      <c r="I9" s="68"/>
      <c r="J9" s="69"/>
      <c r="K9" s="63"/>
    </row>
    <row r="10" spans="1:11" ht="14.25" x14ac:dyDescent="0.2">
      <c r="A10" s="42">
        <v>33</v>
      </c>
      <c r="B10" s="33">
        <f t="shared" si="2"/>
        <v>1486.521575</v>
      </c>
      <c r="C10" s="34">
        <f t="shared" si="0"/>
        <v>839.29017857142844</v>
      </c>
      <c r="D10" s="33">
        <f t="shared" si="1"/>
        <v>484.60603345000004</v>
      </c>
      <c r="F10"/>
      <c r="G10" s="128" t="s">
        <v>55</v>
      </c>
      <c r="H10" s="129"/>
      <c r="I10" s="129"/>
      <c r="J10" s="130"/>
      <c r="K10" s="63"/>
    </row>
    <row r="11" spans="1:11" ht="15" thickBot="1" x14ac:dyDescent="0.25">
      <c r="A11" s="42">
        <v>32</v>
      </c>
      <c r="B11" s="33">
        <f t="shared" si="2"/>
        <v>1441.4754666666665</v>
      </c>
      <c r="C11" s="34">
        <f t="shared" si="0"/>
        <v>813.85714285714278</v>
      </c>
      <c r="D11" s="33">
        <f t="shared" si="1"/>
        <v>469.92100213333333</v>
      </c>
      <c r="F11"/>
      <c r="G11" s="131"/>
      <c r="H11" s="132"/>
      <c r="I11" s="132"/>
      <c r="J11" s="133"/>
      <c r="K11" s="63"/>
    </row>
    <row r="12" spans="1:11" ht="15" thickBot="1" x14ac:dyDescent="0.25">
      <c r="A12" s="42">
        <v>31</v>
      </c>
      <c r="B12" s="33">
        <f t="shared" si="2"/>
        <v>1396.4293583333333</v>
      </c>
      <c r="C12" s="34">
        <f t="shared" si="0"/>
        <v>788.42410714285711</v>
      </c>
      <c r="D12" s="33">
        <f t="shared" si="1"/>
        <v>455.23597081666668</v>
      </c>
      <c r="F12"/>
      <c r="G12" s="70"/>
      <c r="H12" s="81" t="s">
        <v>56</v>
      </c>
      <c r="I12" s="72" t="s">
        <v>57</v>
      </c>
      <c r="J12" s="103" t="s">
        <v>58</v>
      </c>
      <c r="K12" s="63"/>
    </row>
    <row r="13" spans="1:11" ht="14.25" x14ac:dyDescent="0.2">
      <c r="A13" s="42">
        <v>30</v>
      </c>
      <c r="B13" s="33">
        <f t="shared" si="2"/>
        <v>1351.3832499999999</v>
      </c>
      <c r="C13" s="34">
        <f t="shared" si="0"/>
        <v>762.99107142857144</v>
      </c>
      <c r="D13" s="33">
        <f t="shared" si="1"/>
        <v>440.55093949999997</v>
      </c>
      <c r="F13"/>
      <c r="G13" s="149" t="s">
        <v>59</v>
      </c>
      <c r="H13" s="120">
        <f>IF(J7&gt;=H3,J7,H3)</f>
        <v>1801.84</v>
      </c>
      <c r="I13" s="138">
        <v>23.6</v>
      </c>
      <c r="J13" s="140">
        <f>H13*I13%</f>
        <v>425.23424</v>
      </c>
      <c r="K13" s="63"/>
    </row>
    <row r="14" spans="1:11" ht="15" thickBot="1" x14ac:dyDescent="0.25">
      <c r="A14" s="42">
        <v>29</v>
      </c>
      <c r="B14" s="33">
        <f t="shared" si="2"/>
        <v>1306.3371416666664</v>
      </c>
      <c r="C14" s="34">
        <f t="shared" si="0"/>
        <v>737.55803571428578</v>
      </c>
      <c r="D14" s="33">
        <f t="shared" si="1"/>
        <v>425.86590818333326</v>
      </c>
      <c r="F14"/>
      <c r="G14" s="150"/>
      <c r="H14" s="121"/>
      <c r="I14" s="139"/>
      <c r="J14" s="141"/>
      <c r="K14" s="63"/>
    </row>
    <row r="15" spans="1:11" ht="14.25" x14ac:dyDescent="0.2">
      <c r="A15" s="42">
        <v>28</v>
      </c>
      <c r="B15" s="33">
        <f t="shared" si="2"/>
        <v>1261.2910333333334</v>
      </c>
      <c r="C15" s="34">
        <f t="shared" si="0"/>
        <v>712.125</v>
      </c>
      <c r="D15" s="33">
        <f t="shared" si="1"/>
        <v>411.18087686666672</v>
      </c>
      <c r="F15"/>
      <c r="G15" s="149" t="s">
        <v>60</v>
      </c>
      <c r="H15" s="120">
        <f>IF(J7&gt;=J3,J7,J3)</f>
        <v>1801.84</v>
      </c>
      <c r="I15" s="138">
        <v>9</v>
      </c>
      <c r="J15" s="140">
        <f>H15*I15%</f>
        <v>162.16559999999998</v>
      </c>
      <c r="K15" s="63"/>
    </row>
    <row r="16" spans="1:11" ht="15" thickBot="1" x14ac:dyDescent="0.25">
      <c r="A16" s="42">
        <v>27</v>
      </c>
      <c r="B16" s="33">
        <f t="shared" si="2"/>
        <v>1216.244925</v>
      </c>
      <c r="C16" s="34">
        <f t="shared" si="0"/>
        <v>686.69196428571422</v>
      </c>
      <c r="D16" s="33">
        <f t="shared" si="1"/>
        <v>396.49584555000001</v>
      </c>
      <c r="F16"/>
      <c r="G16" s="150"/>
      <c r="H16" s="121"/>
      <c r="I16" s="139"/>
      <c r="J16" s="141"/>
      <c r="K16" s="63"/>
    </row>
    <row r="17" spans="1:11" ht="15" thickBot="1" x14ac:dyDescent="0.25">
      <c r="A17" s="42">
        <v>26</v>
      </c>
      <c r="B17" s="33">
        <f t="shared" si="2"/>
        <v>1171.1988166666665</v>
      </c>
      <c r="C17" s="34">
        <f t="shared" si="0"/>
        <v>661.25892857142867</v>
      </c>
      <c r="D17" s="33">
        <f t="shared" si="1"/>
        <v>381.8108142333333</v>
      </c>
      <c r="F17"/>
      <c r="G17" s="152" t="s">
        <v>61</v>
      </c>
      <c r="H17" s="153"/>
      <c r="I17" s="74">
        <f>(I13+I15)</f>
        <v>32.6</v>
      </c>
      <c r="J17" s="75">
        <f>SUM(J13:J16)</f>
        <v>587.39984000000004</v>
      </c>
      <c r="K17" s="63"/>
    </row>
    <row r="18" spans="1:11" ht="14.25" x14ac:dyDescent="0.2">
      <c r="A18" s="42">
        <v>25</v>
      </c>
      <c r="B18" s="33">
        <f t="shared" si="2"/>
        <v>1126.1527083333333</v>
      </c>
      <c r="C18" s="34">
        <f t="shared" si="0"/>
        <v>635.82589285714289</v>
      </c>
      <c r="D18" s="33">
        <f t="shared" si="1"/>
        <v>367.12578291666665</v>
      </c>
      <c r="F18"/>
      <c r="G18" s="76"/>
      <c r="H18" s="77"/>
      <c r="I18" s="78"/>
      <c r="J18" s="79"/>
      <c r="K18" s="63"/>
    </row>
    <row r="19" spans="1:11" ht="14.25" x14ac:dyDescent="0.2">
      <c r="A19" s="42">
        <v>24</v>
      </c>
      <c r="B19" s="33">
        <f t="shared" si="2"/>
        <v>1081.1065999999998</v>
      </c>
      <c r="C19" s="34">
        <f t="shared" si="0"/>
        <v>610.39285714285711</v>
      </c>
      <c r="D19" s="33">
        <f t="shared" si="1"/>
        <v>352.44075159999994</v>
      </c>
      <c r="F19"/>
      <c r="G19" s="142" t="s">
        <v>73</v>
      </c>
      <c r="H19" s="142"/>
      <c r="I19" s="142"/>
      <c r="J19" s="142"/>
      <c r="K19" s="142"/>
    </row>
    <row r="20" spans="1:11" ht="14.25" x14ac:dyDescent="0.2">
      <c r="A20" s="42">
        <v>23</v>
      </c>
      <c r="B20" s="33">
        <f t="shared" si="2"/>
        <v>1036.0604916666666</v>
      </c>
      <c r="C20" s="34">
        <f t="shared" si="0"/>
        <v>584.95982142857133</v>
      </c>
      <c r="D20" s="33">
        <f t="shared" si="1"/>
        <v>337.75572028333335</v>
      </c>
      <c r="F20"/>
      <c r="G20" s="142"/>
      <c r="H20" s="142"/>
      <c r="I20" s="142"/>
      <c r="J20" s="142"/>
      <c r="K20" s="142"/>
    </row>
    <row r="21" spans="1:11" ht="15" thickBot="1" x14ac:dyDescent="0.25">
      <c r="A21" s="42">
        <v>22</v>
      </c>
      <c r="B21" s="33">
        <f t="shared" si="2"/>
        <v>991.0143833333334</v>
      </c>
      <c r="C21" s="34">
        <f t="shared" si="0"/>
        <v>559.52678571428578</v>
      </c>
      <c r="D21" s="33">
        <f t="shared" si="1"/>
        <v>323.07068896666669</v>
      </c>
      <c r="F21"/>
      <c r="G21" s="62"/>
      <c r="H21" s="65"/>
      <c r="I21" s="63"/>
      <c r="J21" s="64"/>
      <c r="K21" s="63"/>
    </row>
    <row r="22" spans="1:11" ht="14.25" x14ac:dyDescent="0.2">
      <c r="A22" s="42">
        <v>21</v>
      </c>
      <c r="B22" s="33">
        <f t="shared" si="2"/>
        <v>945.96827499999995</v>
      </c>
      <c r="C22" s="34">
        <f t="shared" si="0"/>
        <v>534.09375</v>
      </c>
      <c r="D22" s="33">
        <f t="shared" si="1"/>
        <v>308.38565764999998</v>
      </c>
      <c r="F22"/>
      <c r="G22" s="143" t="s">
        <v>63</v>
      </c>
      <c r="H22" s="143"/>
      <c r="I22" s="144"/>
      <c r="J22" s="166">
        <v>0</v>
      </c>
      <c r="K22" s="63"/>
    </row>
    <row r="23" spans="1:11" ht="15" thickBot="1" x14ac:dyDescent="0.25">
      <c r="A23" s="42">
        <v>20</v>
      </c>
      <c r="B23" s="33">
        <f t="shared" si="2"/>
        <v>900.92216666666661</v>
      </c>
      <c r="C23" s="34">
        <f t="shared" si="0"/>
        <v>508.66071428571422</v>
      </c>
      <c r="D23" s="33">
        <f t="shared" si="1"/>
        <v>293.70062633333333</v>
      </c>
      <c r="F23"/>
      <c r="G23" s="143"/>
      <c r="H23" s="143"/>
      <c r="I23" s="144"/>
      <c r="J23" s="167"/>
      <c r="K23" s="63"/>
    </row>
    <row r="24" spans="1:11" ht="15" thickBot="1" x14ac:dyDescent="0.25">
      <c r="A24" s="42">
        <v>19</v>
      </c>
      <c r="B24" s="33">
        <f t="shared" si="2"/>
        <v>855.87605833333328</v>
      </c>
      <c r="C24" s="34">
        <f t="shared" si="0"/>
        <v>483.22767857142861</v>
      </c>
      <c r="D24" s="33">
        <f t="shared" si="1"/>
        <v>279.01559501666668</v>
      </c>
      <c r="F24"/>
      <c r="G24" s="62"/>
      <c r="H24" s="65"/>
      <c r="I24" s="63"/>
      <c r="J24" s="64"/>
      <c r="K24" s="63"/>
    </row>
    <row r="25" spans="1:11" ht="14.25" x14ac:dyDescent="0.2">
      <c r="A25" s="42">
        <v>18</v>
      </c>
      <c r="B25" s="33">
        <f t="shared" si="2"/>
        <v>810.82994999999994</v>
      </c>
      <c r="C25" s="34">
        <f t="shared" si="0"/>
        <v>457.79464285714283</v>
      </c>
      <c r="D25" s="33">
        <f t="shared" si="1"/>
        <v>264.33056369999997</v>
      </c>
      <c r="F25"/>
      <c r="G25" s="143" t="s">
        <v>64</v>
      </c>
      <c r="H25" s="143"/>
      <c r="I25" s="144"/>
      <c r="J25" s="168">
        <v>0</v>
      </c>
      <c r="K25" s="63"/>
    </row>
    <row r="26" spans="1:11" ht="15" thickBot="1" x14ac:dyDescent="0.25">
      <c r="A26" s="42">
        <v>17</v>
      </c>
      <c r="B26" s="33">
        <f t="shared" si="2"/>
        <v>765.7838416666666</v>
      </c>
      <c r="C26" s="34">
        <f t="shared" si="0"/>
        <v>432.36160714285717</v>
      </c>
      <c r="D26" s="33">
        <f t="shared" si="1"/>
        <v>249.64553238333332</v>
      </c>
      <c r="F26"/>
      <c r="G26" s="143"/>
      <c r="H26" s="143"/>
      <c r="I26" s="144"/>
      <c r="J26" s="169"/>
      <c r="K26" s="63"/>
    </row>
    <row r="27" spans="1:11" ht="15" thickBot="1" x14ac:dyDescent="0.25">
      <c r="A27" s="42">
        <v>16</v>
      </c>
      <c r="B27" s="33">
        <f t="shared" si="2"/>
        <v>720.73773333333327</v>
      </c>
      <c r="C27" s="34">
        <f t="shared" si="0"/>
        <v>406.92857142857139</v>
      </c>
      <c r="D27" s="33">
        <f t="shared" si="1"/>
        <v>234.96050106666667</v>
      </c>
      <c r="F27"/>
      <c r="G27" s="62"/>
      <c r="H27" s="65"/>
      <c r="I27" s="63"/>
      <c r="J27" s="64"/>
      <c r="K27" s="63"/>
    </row>
    <row r="28" spans="1:11" ht="14.25" x14ac:dyDescent="0.2">
      <c r="A28" s="42">
        <v>15</v>
      </c>
      <c r="B28" s="33">
        <f t="shared" si="2"/>
        <v>675.69162499999993</v>
      </c>
      <c r="C28" s="34">
        <f t="shared" si="0"/>
        <v>381.49553571428572</v>
      </c>
      <c r="D28" s="33">
        <f t="shared" si="1"/>
        <v>220.27546974999998</v>
      </c>
      <c r="F28"/>
      <c r="G28" s="128" t="s">
        <v>65</v>
      </c>
      <c r="H28" s="129"/>
      <c r="I28" s="129"/>
      <c r="J28" s="130"/>
      <c r="K28" s="63"/>
    </row>
    <row r="29" spans="1:11" ht="15" thickBot="1" x14ac:dyDescent="0.25">
      <c r="A29" s="42">
        <v>14</v>
      </c>
      <c r="B29" s="33">
        <f t="shared" si="2"/>
        <v>630.64551666666671</v>
      </c>
      <c r="C29" s="34">
        <f t="shared" si="0"/>
        <v>356.0625</v>
      </c>
      <c r="D29" s="33">
        <f t="shared" si="1"/>
        <v>205.59043843333336</v>
      </c>
      <c r="F29"/>
      <c r="G29" s="131"/>
      <c r="H29" s="132"/>
      <c r="I29" s="132"/>
      <c r="J29" s="133"/>
      <c r="K29" s="63"/>
    </row>
    <row r="30" spans="1:11" ht="15" thickBot="1" x14ac:dyDescent="0.25">
      <c r="A30" s="42">
        <v>13</v>
      </c>
      <c r="B30" s="33">
        <f t="shared" si="2"/>
        <v>585.59940833333326</v>
      </c>
      <c r="C30" s="34">
        <f t="shared" si="0"/>
        <v>330.62946428571433</v>
      </c>
      <c r="D30" s="33">
        <f t="shared" si="1"/>
        <v>190.90540711666665</v>
      </c>
      <c r="F30"/>
      <c r="G30" s="80" t="s">
        <v>66</v>
      </c>
      <c r="H30" s="81" t="s">
        <v>56</v>
      </c>
      <c r="I30" s="72" t="s">
        <v>67</v>
      </c>
      <c r="J30" s="73" t="s">
        <v>58</v>
      </c>
      <c r="K30" s="63"/>
    </row>
    <row r="31" spans="1:11" ht="14.25" x14ac:dyDescent="0.2">
      <c r="A31" s="42">
        <v>12</v>
      </c>
      <c r="B31" s="33">
        <f t="shared" si="2"/>
        <v>540.55329999999992</v>
      </c>
      <c r="C31" s="34">
        <f t="shared" si="0"/>
        <v>305.19642857142856</v>
      </c>
      <c r="D31" s="33">
        <f t="shared" si="1"/>
        <v>176.22037579999997</v>
      </c>
      <c r="F31"/>
      <c r="G31" s="170">
        <f>(J22/40*7.5*5)/7*30*$C$46</f>
        <v>0</v>
      </c>
      <c r="H31" s="136">
        <f>IF(J25&lt;G31,G31,J25)</f>
        <v>0</v>
      </c>
      <c r="I31" s="138">
        <v>32.6</v>
      </c>
      <c r="J31" s="140">
        <f>H31*I31%</f>
        <v>0</v>
      </c>
      <c r="K31" s="63"/>
    </row>
    <row r="32" spans="1:11" ht="15" thickBot="1" x14ac:dyDescent="0.25">
      <c r="A32" s="42">
        <v>11</v>
      </c>
      <c r="B32" s="33">
        <f t="shared" si="2"/>
        <v>495.5071916666667</v>
      </c>
      <c r="C32" s="34">
        <f t="shared" si="0"/>
        <v>279.76339285714289</v>
      </c>
      <c r="D32" s="33">
        <f t="shared" si="1"/>
        <v>161.53534448333335</v>
      </c>
      <c r="F32"/>
      <c r="G32" s="135"/>
      <c r="H32" s="137"/>
      <c r="I32" s="139"/>
      <c r="J32" s="141"/>
      <c r="K32" s="63"/>
    </row>
    <row r="33" spans="1:11" ht="15" thickBot="1" x14ac:dyDescent="0.25">
      <c r="A33" s="42">
        <v>10</v>
      </c>
      <c r="B33" s="33">
        <f t="shared" si="2"/>
        <v>450.46108333333331</v>
      </c>
      <c r="C33" s="34">
        <f t="shared" si="0"/>
        <v>254.33035714285711</v>
      </c>
      <c r="D33" s="33">
        <f t="shared" si="1"/>
        <v>146.85031316666667</v>
      </c>
      <c r="F33"/>
      <c r="G33" s="117" t="s">
        <v>68</v>
      </c>
      <c r="H33" s="118"/>
      <c r="I33" s="119"/>
      <c r="J33" s="75">
        <f>SUM(J31)</f>
        <v>0</v>
      </c>
      <c r="K33" s="63"/>
    </row>
    <row r="34" spans="1:11" ht="14.25" x14ac:dyDescent="0.2">
      <c r="A34" s="42">
        <v>9</v>
      </c>
      <c r="B34" s="33">
        <f t="shared" si="2"/>
        <v>405.41497499999997</v>
      </c>
      <c r="C34" s="34">
        <f t="shared" si="0"/>
        <v>228.89732142857142</v>
      </c>
      <c r="D34" s="33">
        <f t="shared" si="1"/>
        <v>132.16528184999999</v>
      </c>
      <c r="F34"/>
      <c r="G34" s="62"/>
      <c r="H34" s="65"/>
      <c r="I34" s="63"/>
      <c r="J34" s="64"/>
      <c r="K34" s="63"/>
    </row>
    <row r="35" spans="1:11" ht="14.25" x14ac:dyDescent="0.2">
      <c r="A35" s="42">
        <v>8</v>
      </c>
      <c r="B35" s="33">
        <f t="shared" si="2"/>
        <v>360.36886666666663</v>
      </c>
      <c r="C35" s="34">
        <f t="shared" si="0"/>
        <v>203.46428571428569</v>
      </c>
      <c r="D35" s="33">
        <f t="shared" si="1"/>
        <v>117.48025053333333</v>
      </c>
      <c r="F35" s="13"/>
      <c r="G35" s="173" t="s">
        <v>69</v>
      </c>
      <c r="H35" s="173"/>
      <c r="I35" s="173"/>
      <c r="J35" s="125" t="s">
        <v>70</v>
      </c>
      <c r="K35" s="104"/>
    </row>
    <row r="36" spans="1:11" ht="14.25" x14ac:dyDescent="0.2">
      <c r="A36" s="42">
        <v>7</v>
      </c>
      <c r="B36" s="33">
        <f t="shared" si="2"/>
        <v>315.32275833333335</v>
      </c>
      <c r="C36" s="34">
        <f t="shared" si="0"/>
        <v>178.03125</v>
      </c>
      <c r="D36" s="33">
        <f t="shared" si="1"/>
        <v>102.79521921666668</v>
      </c>
      <c r="F36"/>
      <c r="G36" s="173"/>
      <c r="H36" s="173"/>
      <c r="I36" s="173"/>
      <c r="J36" s="125"/>
      <c r="K36" s="104"/>
    </row>
    <row r="37" spans="1:11" ht="14.25" x14ac:dyDescent="0.2">
      <c r="A37" s="42">
        <v>6</v>
      </c>
      <c r="B37" s="33">
        <f t="shared" si="2"/>
        <v>270.27664999999996</v>
      </c>
      <c r="C37" s="34">
        <f t="shared" si="0"/>
        <v>152.59821428571428</v>
      </c>
      <c r="D37" s="33">
        <f t="shared" si="1"/>
        <v>88.110187899999985</v>
      </c>
      <c r="F37"/>
    </row>
    <row r="38" spans="1:11" ht="14.25" x14ac:dyDescent="0.2">
      <c r="A38" s="42">
        <v>5</v>
      </c>
      <c r="B38" s="33">
        <f t="shared" si="2"/>
        <v>225.23054166666665</v>
      </c>
      <c r="C38" s="34">
        <f t="shared" si="0"/>
        <v>127.16517857142856</v>
      </c>
      <c r="D38" s="33">
        <f t="shared" si="1"/>
        <v>73.425156583333333</v>
      </c>
      <c r="F38"/>
    </row>
    <row r="39" spans="1:11" ht="14.25" x14ac:dyDescent="0.2">
      <c r="A39" s="42">
        <v>4</v>
      </c>
      <c r="B39" s="33">
        <f t="shared" si="2"/>
        <v>180.18443333333332</v>
      </c>
      <c r="C39" s="34">
        <f t="shared" si="0"/>
        <v>101.73214285714285</v>
      </c>
      <c r="D39" s="33">
        <f t="shared" si="1"/>
        <v>58.740125266666666</v>
      </c>
      <c r="F39"/>
    </row>
    <row r="40" spans="1:11" ht="14.25" x14ac:dyDescent="0.2">
      <c r="A40" s="42">
        <v>3</v>
      </c>
      <c r="B40" s="33">
        <f t="shared" si="2"/>
        <v>135.13832499999998</v>
      </c>
      <c r="C40" s="34">
        <f t="shared" si="0"/>
        <v>76.299107142857139</v>
      </c>
      <c r="D40" s="33">
        <f t="shared" si="1"/>
        <v>44.055093949999993</v>
      </c>
      <c r="F40"/>
    </row>
    <row r="41" spans="1:11" ht="14.25" x14ac:dyDescent="0.2">
      <c r="A41" s="42">
        <v>2</v>
      </c>
      <c r="B41" s="33">
        <f t="shared" si="2"/>
        <v>90.092216666666658</v>
      </c>
      <c r="C41" s="34">
        <f t="shared" si="0"/>
        <v>50.866071428571423</v>
      </c>
      <c r="D41" s="33">
        <f t="shared" si="1"/>
        <v>29.370062633333333</v>
      </c>
      <c r="F41"/>
    </row>
    <row r="42" spans="1:11" ht="15" thickBot="1" x14ac:dyDescent="0.25">
      <c r="A42" s="87">
        <v>1</v>
      </c>
      <c r="B42" s="36">
        <f t="shared" si="2"/>
        <v>45.046108333333329</v>
      </c>
      <c r="C42" s="34">
        <f t="shared" si="0"/>
        <v>25.433035714285712</v>
      </c>
      <c r="D42" s="36">
        <f t="shared" si="1"/>
        <v>14.685031316666667</v>
      </c>
      <c r="F42"/>
    </row>
    <row r="43" spans="1:11" x14ac:dyDescent="0.2">
      <c r="C43" s="108"/>
    </row>
    <row r="46" spans="1:11" s="58" customFormat="1" ht="29.25" hidden="1" thickBot="1" x14ac:dyDescent="0.25">
      <c r="A46" s="57"/>
      <c r="B46" s="52" t="s">
        <v>43</v>
      </c>
      <c r="C46" s="53">
        <v>6.33</v>
      </c>
      <c r="D46" s="57"/>
      <c r="F46" s="59"/>
    </row>
  </sheetData>
  <sheetProtection algorithmName="SHA-512" hashValue="ebYby96WwwEnU2kpCcAj6OOaHVMuhSft4oO3rG86G2i7TBIja8KorCg+bbyX2p4R+rPcRpAIFTtNYVoLrEr9+g==" saltValue="q2CyiwSIc4HdCqolSntlFg==" spinCount="100000" sheet="1" objects="1" scenarios="1"/>
  <protectedRanges>
    <protectedRange sqref="J7" name="RET TC_2_1"/>
    <protectedRange sqref="J22" name="DED_2_1"/>
    <protectedRange sqref="J25" name="RET TP_2_1"/>
    <protectedRange sqref="J35" name="CALCULO RC_2_1"/>
  </protectedRanges>
  <mergeCells count="36">
    <mergeCell ref="G33:I33"/>
    <mergeCell ref="G35:I36"/>
    <mergeCell ref="J35:J36"/>
    <mergeCell ref="G28:J29"/>
    <mergeCell ref="G31:G32"/>
    <mergeCell ref="H31:H32"/>
    <mergeCell ref="I31:I32"/>
    <mergeCell ref="J31:J32"/>
    <mergeCell ref="G19:K20"/>
    <mergeCell ref="G22:I23"/>
    <mergeCell ref="J22:J23"/>
    <mergeCell ref="G25:I26"/>
    <mergeCell ref="J25:J26"/>
    <mergeCell ref="G15:G16"/>
    <mergeCell ref="H15:H16"/>
    <mergeCell ref="I15:I16"/>
    <mergeCell ref="J15:J16"/>
    <mergeCell ref="G17:H17"/>
    <mergeCell ref="G7:I8"/>
    <mergeCell ref="J7:J8"/>
    <mergeCell ref="G10:J11"/>
    <mergeCell ref="G13:G14"/>
    <mergeCell ref="H13:H14"/>
    <mergeCell ref="I13:I14"/>
    <mergeCell ref="J13:J14"/>
    <mergeCell ref="J1:K1"/>
    <mergeCell ref="G3:G4"/>
    <mergeCell ref="H3:H4"/>
    <mergeCell ref="I3:I4"/>
    <mergeCell ref="J3:J4"/>
    <mergeCell ref="K3:K4"/>
    <mergeCell ref="A1:A2"/>
    <mergeCell ref="B1:B2"/>
    <mergeCell ref="C1:C2"/>
    <mergeCell ref="D1:D2"/>
    <mergeCell ref="G1:I1"/>
  </mergeCells>
  <phoneticPr fontId="7" type="noConversion"/>
  <hyperlinks>
    <hyperlink ref="J35:J36" r:id="rId1" display="CALCULO RC"/>
  </hyperlinks>
  <pageMargins left="0.75" right="0.75" top="1" bottom="1" header="0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L9" sqref="L9"/>
    </sheetView>
  </sheetViews>
  <sheetFormatPr baseColWidth="10" defaultRowHeight="12.75" x14ac:dyDescent="0.2"/>
  <cols>
    <col min="1" max="1" width="25.140625" bestFit="1" customWidth="1"/>
    <col min="2" max="2" width="17.5703125" style="2" bestFit="1" customWidth="1"/>
    <col min="3" max="3" width="16.7109375" style="2" bestFit="1" customWidth="1"/>
    <col min="4" max="4" width="16.7109375" customWidth="1"/>
    <col min="6" max="6" width="24.140625" bestFit="1" customWidth="1"/>
    <col min="7" max="7" width="11.42578125" style="2" customWidth="1"/>
  </cols>
  <sheetData>
    <row r="1" spans="1:8" x14ac:dyDescent="0.2">
      <c r="A1" s="15" t="s">
        <v>2</v>
      </c>
      <c r="B1" s="49" t="s">
        <v>26</v>
      </c>
      <c r="C1" s="47" t="s">
        <v>20</v>
      </c>
      <c r="F1" s="186" t="s">
        <v>3</v>
      </c>
      <c r="G1" s="186"/>
    </row>
    <row r="2" spans="1:8" x14ac:dyDescent="0.2">
      <c r="A2" s="21" t="s">
        <v>24</v>
      </c>
      <c r="B2" s="25">
        <f>B15</f>
        <v>1360.7783841666669</v>
      </c>
      <c r="C2" s="26">
        <f>C15</f>
        <v>3690.808685391667</v>
      </c>
      <c r="F2" s="3" t="s">
        <v>4</v>
      </c>
      <c r="G2" s="4">
        <v>636.01</v>
      </c>
    </row>
    <row r="3" spans="1:8" x14ac:dyDescent="0.2">
      <c r="A3" s="16" t="s">
        <v>1</v>
      </c>
      <c r="B3" s="24">
        <f>B25</f>
        <v>1360.7783841666669</v>
      </c>
      <c r="C3" s="26">
        <f>C25</f>
        <v>2974.1963372916666</v>
      </c>
      <c r="F3" s="3" t="s">
        <v>14</v>
      </c>
      <c r="G3" s="4">
        <v>323.74</v>
      </c>
    </row>
    <row r="4" spans="1:8" x14ac:dyDescent="0.2">
      <c r="A4" s="16" t="s">
        <v>9</v>
      </c>
      <c r="B4" s="24">
        <f>B35</f>
        <v>1196.0013816666667</v>
      </c>
      <c r="C4" s="26">
        <f>C35</f>
        <v>2432.8926039045832</v>
      </c>
      <c r="F4" s="3" t="s">
        <v>15</v>
      </c>
      <c r="G4" s="4">
        <v>596.27</v>
      </c>
    </row>
    <row r="5" spans="1:8" ht="13.5" thickBot="1" x14ac:dyDescent="0.25">
      <c r="A5" s="16" t="s">
        <v>11</v>
      </c>
      <c r="B5" s="24">
        <f>G20</f>
        <v>2185.8546666666671</v>
      </c>
      <c r="C5" s="26"/>
      <c r="F5" s="5" t="s">
        <v>7</v>
      </c>
      <c r="G5" s="6">
        <f>SUM(G2:G4)/30*12/12</f>
        <v>51.867333333333335</v>
      </c>
      <c r="H5" t="s">
        <v>45</v>
      </c>
    </row>
    <row r="6" spans="1:8" ht="13.5" thickTop="1" x14ac:dyDescent="0.2">
      <c r="A6" s="16" t="s">
        <v>5</v>
      </c>
      <c r="B6" s="24">
        <f>G9</f>
        <v>1877.2523333333334</v>
      </c>
      <c r="C6" s="26"/>
      <c r="F6" s="27" t="s">
        <v>39</v>
      </c>
      <c r="G6" s="46">
        <v>65.97</v>
      </c>
    </row>
    <row r="7" spans="1:8" x14ac:dyDescent="0.2">
      <c r="A7" s="16" t="s">
        <v>32</v>
      </c>
      <c r="B7" s="24">
        <f>G34</f>
        <v>1801.8443333333332</v>
      </c>
      <c r="C7" s="26"/>
      <c r="F7" s="27"/>
      <c r="G7" s="28"/>
    </row>
    <row r="8" spans="1:8" x14ac:dyDescent="0.2">
      <c r="A8" s="19" t="s">
        <v>27</v>
      </c>
      <c r="B8" s="48" t="s">
        <v>18</v>
      </c>
      <c r="C8" s="48" t="s">
        <v>21</v>
      </c>
      <c r="D8" s="20"/>
      <c r="F8" s="27" t="s">
        <v>6</v>
      </c>
      <c r="G8" s="4">
        <f>(630.21+G3+G4)*2/12</f>
        <v>258.37</v>
      </c>
    </row>
    <row r="9" spans="1:8" x14ac:dyDescent="0.2">
      <c r="A9" t="s">
        <v>37</v>
      </c>
      <c r="B9" s="2">
        <v>1177.08</v>
      </c>
      <c r="C9" s="2">
        <v>1177.08</v>
      </c>
      <c r="F9" s="7" t="s">
        <v>8</v>
      </c>
      <c r="G9" s="8">
        <f>SUM(G2:G5)+(G6/6)+G8</f>
        <v>1877.2523333333334</v>
      </c>
    </row>
    <row r="10" spans="1:8" x14ac:dyDescent="0.2">
      <c r="A10" t="s">
        <v>28</v>
      </c>
      <c r="C10" s="2">
        <v>886.4</v>
      </c>
    </row>
    <row r="11" spans="1:8" x14ac:dyDescent="0.2">
      <c r="A11" t="s">
        <v>23</v>
      </c>
      <c r="C11" s="2">
        <f>(999.41)+(999.41*2.25%)</f>
        <v>1021.8967249999999</v>
      </c>
    </row>
    <row r="12" spans="1:8" x14ac:dyDescent="0.2">
      <c r="A12" t="s">
        <v>16</v>
      </c>
      <c r="B12" s="2">
        <f>(726.35/6)</f>
        <v>121.05833333333334</v>
      </c>
      <c r="C12" s="2">
        <f>(726.35+C10+C11)/6</f>
        <v>439.10778750000003</v>
      </c>
      <c r="D12" s="2"/>
      <c r="F12" s="14" t="s">
        <v>10</v>
      </c>
      <c r="G12" s="14"/>
    </row>
    <row r="13" spans="1:8" x14ac:dyDescent="0.2">
      <c r="D13" s="2"/>
      <c r="F13" s="9" t="s">
        <v>4</v>
      </c>
      <c r="G13" s="10">
        <v>764.19</v>
      </c>
    </row>
    <row r="14" spans="1:8" ht="13.5" thickBot="1" x14ac:dyDescent="0.25">
      <c r="A14" s="17" t="s">
        <v>17</v>
      </c>
      <c r="B14" s="18">
        <f>B9/30*12/12</f>
        <v>39.235999999999997</v>
      </c>
      <c r="C14" s="18">
        <f>SUM(C9:C11)/30*12/12</f>
        <v>102.84589083333334</v>
      </c>
      <c r="D14" s="23" t="s">
        <v>44</v>
      </c>
      <c r="F14" s="9" t="s">
        <v>12</v>
      </c>
      <c r="G14" s="10">
        <v>419.02</v>
      </c>
    </row>
    <row r="15" spans="1:8" ht="13.5" thickTop="1" x14ac:dyDescent="0.2">
      <c r="A15" t="s">
        <v>34</v>
      </c>
      <c r="B15" s="22">
        <f>SUM(B9:B14)*1.0175</f>
        <v>1360.7783841666669</v>
      </c>
      <c r="C15" s="22">
        <f>(SUM(C9:C11)+C12+C14)*1.0175</f>
        <v>3690.808685391667</v>
      </c>
      <c r="D15" s="22"/>
      <c r="F15" s="9" t="s">
        <v>13</v>
      </c>
      <c r="G15" s="10">
        <v>640.88</v>
      </c>
    </row>
    <row r="16" spans="1:8" x14ac:dyDescent="0.2">
      <c r="F16" s="9" t="s">
        <v>7</v>
      </c>
      <c r="G16" s="10">
        <f>SUM(G13:G15)/30*12/12</f>
        <v>60.803000000000004</v>
      </c>
      <c r="H16" t="s">
        <v>45</v>
      </c>
    </row>
    <row r="17" spans="1:8" x14ac:dyDescent="0.2">
      <c r="F17" s="9" t="s">
        <v>39</v>
      </c>
      <c r="G17" s="10">
        <v>85.39</v>
      </c>
    </row>
    <row r="18" spans="1:8" x14ac:dyDescent="0.2">
      <c r="A18" s="19" t="s">
        <v>19</v>
      </c>
      <c r="B18" s="48" t="s">
        <v>18</v>
      </c>
      <c r="C18" s="48" t="s">
        <v>21</v>
      </c>
      <c r="D18" s="20"/>
      <c r="F18" s="9"/>
      <c r="G18" s="29"/>
    </row>
    <row r="19" spans="1:8" x14ac:dyDescent="0.2">
      <c r="A19" t="s">
        <v>37</v>
      </c>
      <c r="B19" s="2">
        <f>B9</f>
        <v>1177.08</v>
      </c>
      <c r="C19" s="2">
        <f>C9</f>
        <v>1177.08</v>
      </c>
      <c r="F19" s="9" t="s">
        <v>6</v>
      </c>
      <c r="G19" s="10">
        <f>(660.48+G14+G15)/6</f>
        <v>286.73</v>
      </c>
    </row>
    <row r="20" spans="1:8" x14ac:dyDescent="0.2">
      <c r="A20" t="s">
        <v>22</v>
      </c>
      <c r="C20" s="2">
        <v>844.65</v>
      </c>
      <c r="F20" s="11" t="s">
        <v>8</v>
      </c>
      <c r="G20" s="12">
        <f>SUM(G13:G16)+(G17/6)+G19</f>
        <v>2185.8546666666671</v>
      </c>
    </row>
    <row r="21" spans="1:8" x14ac:dyDescent="0.2">
      <c r="A21" t="s">
        <v>23</v>
      </c>
      <c r="C21" s="2">
        <f>(466.25)+466.25*2.25%</f>
        <v>476.74062500000002</v>
      </c>
      <c r="G21"/>
    </row>
    <row r="22" spans="1:8" x14ac:dyDescent="0.2">
      <c r="A22" t="s">
        <v>16</v>
      </c>
      <c r="B22" s="2">
        <f>B12</f>
        <v>121.05833333333334</v>
      </c>
      <c r="C22" s="2">
        <f>(726.35+C20+C21)/6</f>
        <v>341.29010416666665</v>
      </c>
      <c r="D22" s="2"/>
      <c r="G22"/>
    </row>
    <row r="23" spans="1:8" x14ac:dyDescent="0.2">
      <c r="D23" s="2"/>
      <c r="G23"/>
    </row>
    <row r="24" spans="1:8" ht="13.5" thickBot="1" x14ac:dyDescent="0.25">
      <c r="A24" s="17" t="s">
        <v>17</v>
      </c>
      <c r="B24" s="18">
        <f>B19/30*12/12</f>
        <v>39.235999999999997</v>
      </c>
      <c r="C24" s="18">
        <f>SUM(C19:C21)/30*12/12</f>
        <v>83.282354166666664</v>
      </c>
      <c r="D24" s="23" t="s">
        <v>45</v>
      </c>
    </row>
    <row r="25" spans="1:8" ht="13.5" thickTop="1" x14ac:dyDescent="0.2">
      <c r="A25" t="s">
        <v>35</v>
      </c>
      <c r="B25" s="22">
        <f>SUM(B19:B24)*1.0175</f>
        <v>1360.7783841666669</v>
      </c>
      <c r="C25" s="22">
        <f>(SUM(C19:C21)+C22+C24)*1.0175</f>
        <v>2974.1963372916666</v>
      </c>
      <c r="D25" s="22"/>
    </row>
    <row r="26" spans="1:8" x14ac:dyDescent="0.2">
      <c r="F26" s="14" t="s">
        <v>31</v>
      </c>
      <c r="G26" s="14"/>
    </row>
    <row r="27" spans="1:8" x14ac:dyDescent="0.2">
      <c r="A27" s="19"/>
      <c r="B27" s="48"/>
      <c r="C27" s="48"/>
      <c r="D27" s="20"/>
      <c r="F27" s="9" t="s">
        <v>4</v>
      </c>
      <c r="G27" s="10">
        <v>636.01</v>
      </c>
    </row>
    <row r="28" spans="1:8" x14ac:dyDescent="0.2">
      <c r="A28" s="19" t="s">
        <v>25</v>
      </c>
      <c r="B28" s="48" t="s">
        <v>18</v>
      </c>
      <c r="C28" s="48" t="s">
        <v>21</v>
      </c>
      <c r="D28" s="20"/>
      <c r="F28" s="9" t="s">
        <v>14</v>
      </c>
      <c r="G28" s="10">
        <v>323.74</v>
      </c>
    </row>
    <row r="29" spans="1:8" x14ac:dyDescent="0.2">
      <c r="A29" t="s">
        <v>38</v>
      </c>
      <c r="B29" s="50">
        <v>1017.79</v>
      </c>
      <c r="F29" s="9" t="s">
        <v>33</v>
      </c>
      <c r="G29" s="10">
        <v>533.42999999999995</v>
      </c>
    </row>
    <row r="30" spans="1:8" x14ac:dyDescent="0.2">
      <c r="A30" t="s">
        <v>22</v>
      </c>
      <c r="F30" s="9" t="s">
        <v>7</v>
      </c>
      <c r="G30" s="10">
        <f>SUM(G27:G29)/30*12/12</f>
        <v>49.772666666666659</v>
      </c>
      <c r="H30" t="s">
        <v>45</v>
      </c>
    </row>
    <row r="31" spans="1:8" x14ac:dyDescent="0.2">
      <c r="A31" t="s">
        <v>23</v>
      </c>
      <c r="F31" s="9" t="s">
        <v>39</v>
      </c>
      <c r="G31" s="10">
        <v>65.97</v>
      </c>
    </row>
    <row r="32" spans="1:8" x14ac:dyDescent="0.2">
      <c r="A32" t="s">
        <v>16</v>
      </c>
      <c r="B32" s="2">
        <f>742.29/6</f>
        <v>123.71499999999999</v>
      </c>
      <c r="D32" s="2"/>
      <c r="F32" s="9"/>
      <c r="G32" s="29"/>
    </row>
    <row r="33" spans="1:7" x14ac:dyDescent="0.2">
      <c r="D33" s="2"/>
      <c r="F33" s="9" t="s">
        <v>6</v>
      </c>
      <c r="G33" s="10">
        <f>(630.21+G28+G29)/6</f>
        <v>247.89666666666668</v>
      </c>
    </row>
    <row r="34" spans="1:7" ht="13.5" thickBot="1" x14ac:dyDescent="0.25">
      <c r="A34" s="17" t="s">
        <v>17</v>
      </c>
      <c r="B34" s="18">
        <f>B29/30*12/12</f>
        <v>33.926333333333332</v>
      </c>
      <c r="C34" s="18"/>
      <c r="D34" s="2" t="s">
        <v>45</v>
      </c>
      <c r="F34" s="11" t="s">
        <v>8</v>
      </c>
      <c r="G34" s="12">
        <f>SUM(G27:G30)+(G31/6)+G33</f>
        <v>1801.8443333333332</v>
      </c>
    </row>
    <row r="35" spans="1:7" ht="13.5" thickTop="1" x14ac:dyDescent="0.2">
      <c r="A35" t="s">
        <v>36</v>
      </c>
      <c r="B35" s="22">
        <f>SUM(B29:B34)*1.0175</f>
        <v>1196.0013816666667</v>
      </c>
      <c r="C35" s="22">
        <f>PRODUCT(C25*0.8)*1.0225</f>
        <v>2432.8926039045832</v>
      </c>
      <c r="D35" s="23"/>
      <c r="G35"/>
    </row>
    <row r="36" spans="1:7" x14ac:dyDescent="0.2">
      <c r="D36" s="22"/>
      <c r="G36"/>
    </row>
    <row r="37" spans="1:7" x14ac:dyDescent="0.2">
      <c r="G37"/>
    </row>
    <row r="38" spans="1:7" x14ac:dyDescent="0.2">
      <c r="G38"/>
    </row>
  </sheetData>
  <mergeCells count="1">
    <mergeCell ref="F1:G1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DOCTORES</vt:lpstr>
      <vt:lpstr>(A) LICENCIADOS-INGEN-ARQU</vt:lpstr>
      <vt:lpstr>(B) DIPLO MADOS</vt:lpstr>
      <vt:lpstr>(C) TECNICO ESPEC LAB FP2 </vt:lpstr>
      <vt:lpstr>(D) AUX ADM-LAB (FP1- GR ESCOL)</vt:lpstr>
      <vt:lpstr>(D) AUX. SERVICIOS</vt:lpstr>
      <vt:lpstr>PARAMETROS</vt:lpstr>
      <vt:lpstr>RETRIBUCION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Cremades Cremades, Gloria</cp:lastModifiedBy>
  <cp:lastPrinted>2015-01-16T11:58:13Z</cp:lastPrinted>
  <dcterms:created xsi:type="dcterms:W3CDTF">2003-11-11T19:24:53Z</dcterms:created>
  <dcterms:modified xsi:type="dcterms:W3CDTF">2019-05-13T14:08:21Z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