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gcremades\Desktop\TABLAS SALARIALES\TABLAS 2019\"/>
    </mc:Choice>
  </mc:AlternateContent>
  <workbookProtection workbookAlgorithmName="SHA-512" workbookHashValue="COmzzuMOBtGLfArDLTh0YNtdOgrUhxd65+wj1L0ByaAnHPd47CpCcokhDhrZ1sUbGmxVpEu4kiHEcHx7lpU5Lg==" workbookSaltValue="UMtKmQ4Ybv0YUem6CqFXhA==" workbookSpinCount="100000" lockStructure="1"/>
  <bookViews>
    <workbookView xWindow="0" yWindow="0" windowWidth="15360" windowHeight="6660" tabRatio="859" firstSheet="1" activeTab="2"/>
  </bookViews>
  <sheets>
    <sheet name="INVESTIGADOR SENIOR" sheetId="7" r:id="rId1"/>
    <sheet name="INVESTIGADOR JUNIOR" sheetId="13" r:id="rId2"/>
    <sheet name="INVESTIGADOR EN FORMACIÓN" sheetId="14" r:id="rId3"/>
    <sheet name="TITULADOS SUPERIORES I" sheetId="12" r:id="rId4"/>
    <sheet name="TITULADOS SUPERIORES II" sheetId="11" r:id="rId5"/>
    <sheet name="TITULADOS DE GRADO MEDIO" sheetId="5" r:id="rId6"/>
    <sheet name="ESPECIALISTAS TECNICOS" sheetId="4" r:id="rId7"/>
    <sheet name="AUXILIARES" sheetId="2" r:id="rId8"/>
    <sheet name="PARAMETROS" sheetId="3" state="hidden" r:id="rId9"/>
  </sheets>
  <definedNames>
    <definedName name="_xlnm.Print_Area" localSheetId="7">AUXILIARES!$A$2:$D$42</definedName>
    <definedName name="_xlnm.Print_Area" localSheetId="2">'INVESTIGADOR EN FORMACIÓN'!$A$2:$C$10</definedName>
    <definedName name="_xlnm.Print_Area" localSheetId="1">'INVESTIGADOR JUNIOR'!$A$2:$G$43</definedName>
    <definedName name="_xlnm.Print_Area" localSheetId="0">'INVESTIGADOR SENIOR'!$A$2:$G$41</definedName>
    <definedName name="_xlnm.Print_Area" localSheetId="5">'TITULADOS DE GRADO MEDIO'!$A$2:$G$43</definedName>
    <definedName name="_xlnm.Print_Area" localSheetId="3">'TITULADOS SUPERIORES I'!$A$2:$G$43</definedName>
    <definedName name="_xlnm.Print_Area" localSheetId="4">'TITULADOS SUPERIORES II'!$A$2:$G$43</definedName>
    <definedName name="RETRIBUCION">#REF!</definedName>
    <definedName name="_xlnm.Print_Titles" localSheetId="7">AUXILIARES!$2:$2</definedName>
    <definedName name="_xlnm.Print_Titles" localSheetId="2">'INVESTIGADOR EN FORMACIÓN'!$2:$3</definedName>
    <definedName name="_xlnm.Print_Titles" localSheetId="1">'INVESTIGADOR JUNIOR'!$2:$3</definedName>
    <definedName name="_xlnm.Print_Titles" localSheetId="0">'INVESTIGADOR SENIOR'!$2:$3</definedName>
    <definedName name="_xlnm.Print_Titles" localSheetId="5">'TITULADOS DE GRADO MEDIO'!$2:$3</definedName>
    <definedName name="_xlnm.Print_Titles" localSheetId="3">'TITULADOS SUPERIORES I'!$2:$3</definedName>
    <definedName name="_xlnm.Print_Titles" localSheetId="4">'TITULADOS SUPERIORES II'!$2:$3</definedName>
  </definedNames>
  <calcPr calcId="162913"/>
</workbook>
</file>

<file path=xl/calcChain.xml><?xml version="1.0" encoding="utf-8"?>
<calcChain xmlns="http://schemas.openxmlformats.org/spreadsheetml/2006/main">
  <c r="G22" i="14" l="1"/>
  <c r="I22" i="14" s="1"/>
  <c r="G11" i="14"/>
  <c r="G20" i="14"/>
  <c r="H24" i="14"/>
  <c r="D4" i="14" l="1"/>
  <c r="H13" i="14" l="1"/>
  <c r="I11" i="14"/>
  <c r="G9" i="14"/>
  <c r="I9" i="14" s="1"/>
  <c r="I13" i="14" s="1"/>
  <c r="F32" i="2" l="1"/>
  <c r="D6" i="2"/>
  <c r="D7" i="2"/>
  <c r="D10" i="2"/>
  <c r="D11" i="2"/>
  <c r="D14" i="2"/>
  <c r="D15" i="2"/>
  <c r="D18" i="2"/>
  <c r="D19" i="2"/>
  <c r="D22" i="2"/>
  <c r="D23" i="2"/>
  <c r="D26" i="2"/>
  <c r="D27" i="2"/>
  <c r="D30" i="2"/>
  <c r="D31" i="2"/>
  <c r="D34" i="2"/>
  <c r="D35" i="2"/>
  <c r="D38" i="2"/>
  <c r="D39" i="2"/>
  <c r="D42" i="2"/>
  <c r="C5" i="2"/>
  <c r="D5" i="2" s="1"/>
  <c r="C6" i="2"/>
  <c r="C7" i="2"/>
  <c r="C8" i="2"/>
  <c r="D8" i="2" s="1"/>
  <c r="C9" i="2"/>
  <c r="D9" i="2" s="1"/>
  <c r="C10" i="2"/>
  <c r="C11" i="2"/>
  <c r="C12" i="2"/>
  <c r="D12" i="2" s="1"/>
  <c r="C13" i="2"/>
  <c r="D13" i="2" s="1"/>
  <c r="C14" i="2"/>
  <c r="C15" i="2"/>
  <c r="C16" i="2"/>
  <c r="D16" i="2" s="1"/>
  <c r="C17" i="2"/>
  <c r="D17" i="2" s="1"/>
  <c r="C18" i="2"/>
  <c r="C19" i="2"/>
  <c r="C20" i="2"/>
  <c r="D20" i="2" s="1"/>
  <c r="C21" i="2"/>
  <c r="D21" i="2" s="1"/>
  <c r="C22" i="2"/>
  <c r="C23" i="2"/>
  <c r="C24" i="2"/>
  <c r="D24" i="2" s="1"/>
  <c r="C25" i="2"/>
  <c r="D25" i="2" s="1"/>
  <c r="C26" i="2"/>
  <c r="C27" i="2"/>
  <c r="C28" i="2"/>
  <c r="D28" i="2" s="1"/>
  <c r="C29" i="2"/>
  <c r="D29" i="2" s="1"/>
  <c r="C30" i="2"/>
  <c r="C31" i="2"/>
  <c r="C32" i="2"/>
  <c r="D32" i="2" s="1"/>
  <c r="C33" i="2"/>
  <c r="D33" i="2" s="1"/>
  <c r="C34" i="2"/>
  <c r="C35" i="2"/>
  <c r="C36" i="2"/>
  <c r="D36" i="2" s="1"/>
  <c r="C37" i="2"/>
  <c r="D37" i="2" s="1"/>
  <c r="C38" i="2"/>
  <c r="C39" i="2"/>
  <c r="C40" i="2"/>
  <c r="D40" i="2" s="1"/>
  <c r="C41" i="2"/>
  <c r="D41" i="2" s="1"/>
  <c r="C42" i="2"/>
  <c r="C4" i="2"/>
  <c r="D4" i="2" s="1"/>
  <c r="D8" i="4" l="1"/>
  <c r="D12" i="4"/>
  <c r="D16" i="4"/>
  <c r="D20" i="4"/>
  <c r="D24" i="4"/>
  <c r="D28" i="4"/>
  <c r="D32" i="4"/>
  <c r="D36" i="4"/>
  <c r="D40" i="4"/>
  <c r="H18" i="4"/>
  <c r="H18" i="2"/>
  <c r="G32" i="2"/>
  <c r="I32" i="2" s="1"/>
  <c r="I34" i="2" s="1"/>
  <c r="G16" i="2"/>
  <c r="I16" i="2" s="1"/>
  <c r="G14" i="2"/>
  <c r="I14" i="2" s="1"/>
  <c r="D3" i="4"/>
  <c r="C5" i="4"/>
  <c r="D5" i="4" s="1"/>
  <c r="C6" i="4"/>
  <c r="D6" i="4" s="1"/>
  <c r="C7" i="4"/>
  <c r="D7" i="4" s="1"/>
  <c r="C8" i="4"/>
  <c r="C9" i="4"/>
  <c r="D9" i="4" s="1"/>
  <c r="C10" i="4"/>
  <c r="D10" i="4" s="1"/>
  <c r="C11" i="4"/>
  <c r="D11" i="4" s="1"/>
  <c r="C12" i="4"/>
  <c r="C13" i="4"/>
  <c r="D13" i="4" s="1"/>
  <c r="C14" i="4"/>
  <c r="D14" i="4" s="1"/>
  <c r="C15" i="4"/>
  <c r="D15" i="4" s="1"/>
  <c r="C16" i="4"/>
  <c r="C17" i="4"/>
  <c r="D17" i="4" s="1"/>
  <c r="C18" i="4"/>
  <c r="D18" i="4" s="1"/>
  <c r="C19" i="4"/>
  <c r="D19" i="4" s="1"/>
  <c r="C20" i="4"/>
  <c r="C21" i="4"/>
  <c r="D21" i="4" s="1"/>
  <c r="C22" i="4"/>
  <c r="D22" i="4" s="1"/>
  <c r="C23" i="4"/>
  <c r="D23" i="4" s="1"/>
  <c r="C24" i="4"/>
  <c r="C25" i="4"/>
  <c r="D25" i="4" s="1"/>
  <c r="C26" i="4"/>
  <c r="D26" i="4" s="1"/>
  <c r="C27" i="4"/>
  <c r="D27" i="4" s="1"/>
  <c r="C28" i="4"/>
  <c r="C29" i="4"/>
  <c r="D29" i="4" s="1"/>
  <c r="C30" i="4"/>
  <c r="D30" i="4" s="1"/>
  <c r="C31" i="4"/>
  <c r="D31" i="4" s="1"/>
  <c r="C32" i="4"/>
  <c r="C33" i="4"/>
  <c r="D33" i="4" s="1"/>
  <c r="C34" i="4"/>
  <c r="D34" i="4" s="1"/>
  <c r="C35" i="4"/>
  <c r="D35" i="4" s="1"/>
  <c r="C36" i="4"/>
  <c r="C37" i="4"/>
  <c r="D37" i="4" s="1"/>
  <c r="C38" i="4"/>
  <c r="D38" i="4" s="1"/>
  <c r="C39" i="4"/>
  <c r="D39" i="4" s="1"/>
  <c r="C40" i="4"/>
  <c r="C41" i="4"/>
  <c r="D41" i="4" s="1"/>
  <c r="C42" i="4"/>
  <c r="D42" i="4" s="1"/>
  <c r="C4" i="4"/>
  <c r="D4" i="4" s="1"/>
  <c r="F32" i="4"/>
  <c r="G32" i="4" s="1"/>
  <c r="I32" i="4" s="1"/>
  <c r="I34" i="4" s="1"/>
  <c r="G14" i="4"/>
  <c r="I14" i="4" s="1"/>
  <c r="G16" i="4"/>
  <c r="I16" i="4" s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" i="5"/>
  <c r="C6" i="5"/>
  <c r="D6" i="5" s="1"/>
  <c r="C7" i="5"/>
  <c r="D7" i="5" s="1"/>
  <c r="C8" i="5"/>
  <c r="C9" i="5"/>
  <c r="D9" i="5" s="1"/>
  <c r="C10" i="5"/>
  <c r="D10" i="5" s="1"/>
  <c r="C11" i="5"/>
  <c r="D11" i="5" s="1"/>
  <c r="C12" i="5"/>
  <c r="C13" i="5"/>
  <c r="D13" i="5" s="1"/>
  <c r="C14" i="5"/>
  <c r="D14" i="5" s="1"/>
  <c r="C15" i="5"/>
  <c r="D15" i="5" s="1"/>
  <c r="C16" i="5"/>
  <c r="D16" i="5" s="1"/>
  <c r="C17" i="5"/>
  <c r="D17" i="5" s="1"/>
  <c r="C18" i="5"/>
  <c r="D18" i="5" s="1"/>
  <c r="C19" i="5"/>
  <c r="D19" i="5" s="1"/>
  <c r="C20" i="5"/>
  <c r="C21" i="5"/>
  <c r="D21" i="5" s="1"/>
  <c r="C22" i="5"/>
  <c r="D22" i="5" s="1"/>
  <c r="C23" i="5"/>
  <c r="D23" i="5" s="1"/>
  <c r="C24" i="5"/>
  <c r="C25" i="5"/>
  <c r="D25" i="5" s="1"/>
  <c r="C26" i="5"/>
  <c r="D26" i="5" s="1"/>
  <c r="C27" i="5"/>
  <c r="D27" i="5" s="1"/>
  <c r="C28" i="5"/>
  <c r="C29" i="5"/>
  <c r="D29" i="5" s="1"/>
  <c r="C30" i="5"/>
  <c r="D30" i="5" s="1"/>
  <c r="C31" i="5"/>
  <c r="D31" i="5" s="1"/>
  <c r="C32" i="5"/>
  <c r="D32" i="5" s="1"/>
  <c r="C33" i="5"/>
  <c r="D33" i="5" s="1"/>
  <c r="C34" i="5"/>
  <c r="D34" i="5" s="1"/>
  <c r="C35" i="5"/>
  <c r="D35" i="5" s="1"/>
  <c r="C36" i="5"/>
  <c r="C37" i="5"/>
  <c r="D37" i="5" s="1"/>
  <c r="C38" i="5"/>
  <c r="D38" i="5" s="1"/>
  <c r="C39" i="5"/>
  <c r="D39" i="5" s="1"/>
  <c r="C40" i="5"/>
  <c r="C41" i="5"/>
  <c r="D41" i="5" s="1"/>
  <c r="C42" i="5"/>
  <c r="D42" i="5" s="1"/>
  <c r="C43" i="5"/>
  <c r="D43" i="5" s="1"/>
  <c r="C5" i="5"/>
  <c r="D8" i="5"/>
  <c r="D12" i="5"/>
  <c r="D20" i="5"/>
  <c r="D24" i="5"/>
  <c r="D28" i="5"/>
  <c r="D36" i="5"/>
  <c r="D40" i="5"/>
  <c r="D5" i="5"/>
  <c r="I32" i="5"/>
  <c r="J32" i="5" s="1"/>
  <c r="L32" i="5" s="1"/>
  <c r="L34" i="5" s="1"/>
  <c r="K18" i="5"/>
  <c r="J16" i="5"/>
  <c r="L16" i="5" s="1"/>
  <c r="J14" i="5"/>
  <c r="L14" i="5" s="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" i="11"/>
  <c r="D8" i="11"/>
  <c r="D9" i="11"/>
  <c r="D12" i="11"/>
  <c r="D13" i="11"/>
  <c r="D16" i="11"/>
  <c r="D17" i="11"/>
  <c r="D20" i="11"/>
  <c r="D21" i="11"/>
  <c r="D24" i="11"/>
  <c r="D25" i="11"/>
  <c r="D28" i="11"/>
  <c r="D29" i="11"/>
  <c r="D32" i="11"/>
  <c r="D33" i="11"/>
  <c r="D36" i="11"/>
  <c r="D37" i="11"/>
  <c r="D40" i="11"/>
  <c r="D41" i="11"/>
  <c r="D5" i="11"/>
  <c r="C6" i="11"/>
  <c r="D6" i="11" s="1"/>
  <c r="C7" i="11"/>
  <c r="D7" i="11" s="1"/>
  <c r="C8" i="11"/>
  <c r="C9" i="11"/>
  <c r="C10" i="11"/>
  <c r="D10" i="11" s="1"/>
  <c r="C11" i="11"/>
  <c r="D11" i="11" s="1"/>
  <c r="C12" i="11"/>
  <c r="C13" i="11"/>
  <c r="C14" i="11"/>
  <c r="D14" i="11" s="1"/>
  <c r="C15" i="11"/>
  <c r="D15" i="11" s="1"/>
  <c r="C16" i="11"/>
  <c r="C17" i="11"/>
  <c r="C18" i="11"/>
  <c r="D18" i="11" s="1"/>
  <c r="C19" i="11"/>
  <c r="D19" i="11" s="1"/>
  <c r="C20" i="11"/>
  <c r="C21" i="11"/>
  <c r="C22" i="11"/>
  <c r="D22" i="11" s="1"/>
  <c r="C23" i="11"/>
  <c r="D23" i="11" s="1"/>
  <c r="C24" i="11"/>
  <c r="C25" i="11"/>
  <c r="C26" i="11"/>
  <c r="D26" i="11" s="1"/>
  <c r="C27" i="11"/>
  <c r="D27" i="11" s="1"/>
  <c r="C28" i="11"/>
  <c r="C29" i="11"/>
  <c r="C30" i="11"/>
  <c r="D30" i="11" s="1"/>
  <c r="C31" i="11"/>
  <c r="D31" i="11" s="1"/>
  <c r="C32" i="11"/>
  <c r="C33" i="11"/>
  <c r="C34" i="11"/>
  <c r="D34" i="11" s="1"/>
  <c r="C35" i="11"/>
  <c r="D35" i="11" s="1"/>
  <c r="C36" i="11"/>
  <c r="C37" i="11"/>
  <c r="C38" i="11"/>
  <c r="D38" i="11" s="1"/>
  <c r="C39" i="11"/>
  <c r="D39" i="11" s="1"/>
  <c r="C40" i="11"/>
  <c r="C41" i="11"/>
  <c r="C42" i="11"/>
  <c r="D42" i="11" s="1"/>
  <c r="C43" i="11"/>
  <c r="D43" i="11" s="1"/>
  <c r="C5" i="11"/>
  <c r="I32" i="11"/>
  <c r="J32" i="11" s="1"/>
  <c r="L32" i="11" s="1"/>
  <c r="L34" i="11" s="1"/>
  <c r="K18" i="11"/>
  <c r="J16" i="11"/>
  <c r="L16" i="11" s="1"/>
  <c r="J14" i="11"/>
  <c r="L14" i="11" s="1"/>
  <c r="L18" i="11" s="1"/>
  <c r="I32" i="12"/>
  <c r="J32" i="12" s="1"/>
  <c r="L32" i="12" s="1"/>
  <c r="L34" i="12" s="1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" i="12"/>
  <c r="D6" i="12"/>
  <c r="D9" i="12"/>
  <c r="D10" i="12"/>
  <c r="D13" i="12"/>
  <c r="D14" i="12"/>
  <c r="D17" i="12"/>
  <c r="D18" i="12"/>
  <c r="D21" i="12"/>
  <c r="D22" i="12"/>
  <c r="D25" i="12"/>
  <c r="D26" i="12"/>
  <c r="D29" i="12"/>
  <c r="D30" i="12"/>
  <c r="D33" i="12"/>
  <c r="D34" i="12"/>
  <c r="D37" i="12"/>
  <c r="D38" i="12"/>
  <c r="D41" i="12"/>
  <c r="D42" i="12"/>
  <c r="C6" i="12"/>
  <c r="C7" i="12"/>
  <c r="D7" i="12" s="1"/>
  <c r="C8" i="12"/>
  <c r="D8" i="12" s="1"/>
  <c r="C9" i="12"/>
  <c r="C10" i="12"/>
  <c r="C11" i="12"/>
  <c r="D11" i="12" s="1"/>
  <c r="C12" i="12"/>
  <c r="D12" i="12" s="1"/>
  <c r="C13" i="12"/>
  <c r="C14" i="12"/>
  <c r="C15" i="12"/>
  <c r="D15" i="12" s="1"/>
  <c r="C16" i="12"/>
  <c r="D16" i="12" s="1"/>
  <c r="C17" i="12"/>
  <c r="C18" i="12"/>
  <c r="C19" i="12"/>
  <c r="D19" i="12" s="1"/>
  <c r="C20" i="12"/>
  <c r="D20" i="12" s="1"/>
  <c r="C21" i="12"/>
  <c r="C22" i="12"/>
  <c r="C23" i="12"/>
  <c r="D23" i="12" s="1"/>
  <c r="C24" i="12"/>
  <c r="D24" i="12" s="1"/>
  <c r="C25" i="12"/>
  <c r="C26" i="12"/>
  <c r="C27" i="12"/>
  <c r="D27" i="12" s="1"/>
  <c r="C28" i="12"/>
  <c r="D28" i="12" s="1"/>
  <c r="C29" i="12"/>
  <c r="C30" i="12"/>
  <c r="C31" i="12"/>
  <c r="D31" i="12" s="1"/>
  <c r="C32" i="12"/>
  <c r="D32" i="12" s="1"/>
  <c r="C33" i="12"/>
  <c r="C34" i="12"/>
  <c r="C35" i="12"/>
  <c r="D35" i="12" s="1"/>
  <c r="C36" i="12"/>
  <c r="D36" i="12" s="1"/>
  <c r="C37" i="12"/>
  <c r="C38" i="12"/>
  <c r="C39" i="12"/>
  <c r="D39" i="12" s="1"/>
  <c r="C40" i="12"/>
  <c r="D40" i="12" s="1"/>
  <c r="C41" i="12"/>
  <c r="C42" i="12"/>
  <c r="C43" i="12"/>
  <c r="D43" i="12" s="1"/>
  <c r="C5" i="12"/>
  <c r="D5" i="12" s="1"/>
  <c r="K18" i="12"/>
  <c r="J16" i="12"/>
  <c r="L16" i="12" s="1"/>
  <c r="J14" i="12"/>
  <c r="L14" i="12" s="1"/>
  <c r="L18" i="12" s="1"/>
  <c r="C4" i="14"/>
  <c r="I18" i="2" l="1"/>
  <c r="D3" i="2" s="1"/>
  <c r="I18" i="4"/>
  <c r="L18" i="5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" i="13"/>
  <c r="I32" i="13"/>
  <c r="J32" i="13" s="1"/>
  <c r="L32" i="13" s="1"/>
  <c r="L34" i="13" s="1"/>
  <c r="D8" i="13"/>
  <c r="D9" i="13"/>
  <c r="D12" i="13"/>
  <c r="D13" i="13"/>
  <c r="D16" i="13"/>
  <c r="D17" i="13"/>
  <c r="D20" i="13"/>
  <c r="D21" i="13"/>
  <c r="D24" i="13"/>
  <c r="D25" i="13"/>
  <c r="D28" i="13"/>
  <c r="D29" i="13"/>
  <c r="D32" i="13"/>
  <c r="D33" i="13"/>
  <c r="D36" i="13"/>
  <c r="D37" i="13"/>
  <c r="D40" i="13"/>
  <c r="D41" i="13"/>
  <c r="D5" i="13"/>
  <c r="C6" i="13"/>
  <c r="D6" i="13" s="1"/>
  <c r="C7" i="13"/>
  <c r="D7" i="13" s="1"/>
  <c r="C8" i="13"/>
  <c r="C9" i="13"/>
  <c r="C10" i="13"/>
  <c r="D10" i="13" s="1"/>
  <c r="C11" i="13"/>
  <c r="D11" i="13" s="1"/>
  <c r="C12" i="13"/>
  <c r="C13" i="13"/>
  <c r="C14" i="13"/>
  <c r="D14" i="13" s="1"/>
  <c r="C15" i="13"/>
  <c r="D15" i="13" s="1"/>
  <c r="C16" i="13"/>
  <c r="C17" i="13"/>
  <c r="C18" i="13"/>
  <c r="D18" i="13" s="1"/>
  <c r="C19" i="13"/>
  <c r="D19" i="13" s="1"/>
  <c r="C20" i="13"/>
  <c r="C21" i="13"/>
  <c r="C22" i="13"/>
  <c r="D22" i="13" s="1"/>
  <c r="C23" i="13"/>
  <c r="D23" i="13" s="1"/>
  <c r="C24" i="13"/>
  <c r="C25" i="13"/>
  <c r="C26" i="13"/>
  <c r="D26" i="13" s="1"/>
  <c r="C27" i="13"/>
  <c r="D27" i="13" s="1"/>
  <c r="C28" i="13"/>
  <c r="C29" i="13"/>
  <c r="C30" i="13"/>
  <c r="D30" i="13" s="1"/>
  <c r="C31" i="13"/>
  <c r="D31" i="13" s="1"/>
  <c r="C32" i="13"/>
  <c r="C33" i="13"/>
  <c r="C34" i="13"/>
  <c r="D34" i="13" s="1"/>
  <c r="C35" i="13"/>
  <c r="D35" i="13" s="1"/>
  <c r="C36" i="13"/>
  <c r="C37" i="13"/>
  <c r="C38" i="13"/>
  <c r="D38" i="13" s="1"/>
  <c r="C39" i="13"/>
  <c r="D39" i="13" s="1"/>
  <c r="C40" i="13"/>
  <c r="C41" i="13"/>
  <c r="C42" i="13"/>
  <c r="D42" i="13" s="1"/>
  <c r="C43" i="13"/>
  <c r="D43" i="13" s="1"/>
  <c r="C5" i="13"/>
  <c r="C5" i="7"/>
  <c r="K18" i="13"/>
  <c r="J16" i="13"/>
  <c r="L16" i="13" s="1"/>
  <c r="L14" i="13"/>
  <c r="J14" i="13"/>
  <c r="B8" i="14"/>
  <c r="B7" i="14"/>
  <c r="B6" i="14"/>
  <c r="D6" i="14" s="1"/>
  <c r="B5" i="14"/>
  <c r="D5" i="14" s="1"/>
  <c r="C7" i="14" l="1"/>
  <c r="D7" i="14"/>
  <c r="C8" i="14"/>
  <c r="D8" i="14"/>
  <c r="C5" i="14"/>
  <c r="C6" i="14"/>
  <c r="L18" i="13"/>
  <c r="B10" i="14"/>
  <c r="D10" i="14" s="1"/>
  <c r="C10" i="14" l="1"/>
  <c r="I32" i="7"/>
  <c r="J32" i="7" s="1"/>
  <c r="L32" i="7" s="1"/>
  <c r="L34" i="7" l="1"/>
  <c r="K18" i="7" l="1"/>
  <c r="C6" i="7" l="1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J16" i="7" l="1"/>
  <c r="L16" i="7" s="1"/>
  <c r="J14" i="7"/>
  <c r="L14" i="7" s="1"/>
  <c r="L18" i="7" l="1"/>
  <c r="F32" i="3"/>
  <c r="F20" i="3"/>
  <c r="F17" i="3"/>
  <c r="E64" i="3" l="1"/>
  <c r="C49" i="3" s="1"/>
  <c r="C50" i="3" s="1"/>
  <c r="D64" i="3"/>
  <c r="B49" i="3" s="1"/>
  <c r="E63" i="3"/>
  <c r="C42" i="3" s="1"/>
  <c r="D63" i="3"/>
  <c r="B42" i="3" s="1"/>
  <c r="E62" i="3"/>
  <c r="C35" i="3" s="1"/>
  <c r="C36" i="3" s="1"/>
  <c r="D62" i="3"/>
  <c r="B35" i="3" s="1"/>
  <c r="E59" i="3"/>
  <c r="C21" i="3" s="1"/>
  <c r="C22" i="3" s="1"/>
  <c r="D59" i="3"/>
  <c r="B21" i="3" s="1"/>
  <c r="B22" i="3" s="1"/>
  <c r="E58" i="3"/>
  <c r="C14" i="3" s="1"/>
  <c r="C15" i="3" s="1"/>
  <c r="D58" i="3"/>
  <c r="B14" i="3" s="1"/>
  <c r="B15" i="3" s="1"/>
  <c r="C28" i="3"/>
  <c r="C30" i="3" s="1"/>
  <c r="C4" i="3" s="1"/>
  <c r="B28" i="3"/>
  <c r="B30" i="3" s="1"/>
  <c r="B4" i="3" s="1"/>
  <c r="F29" i="3"/>
  <c r="C51" i="3" l="1"/>
  <c r="C7" i="3" s="1"/>
  <c r="F4" i="5" s="1"/>
  <c r="F38" i="5" s="1"/>
  <c r="F33" i="3"/>
  <c r="B8" i="3" s="1"/>
  <c r="B35" i="4" s="1"/>
  <c r="F21" i="3"/>
  <c r="B9" i="3" s="1"/>
  <c r="B3" i="2" s="1"/>
  <c r="B41" i="2" s="1"/>
  <c r="F42" i="5"/>
  <c r="F30" i="5"/>
  <c r="F26" i="5"/>
  <c r="F10" i="5"/>
  <c r="C23" i="3"/>
  <c r="B43" i="3"/>
  <c r="B44" i="3" s="1"/>
  <c r="B6" i="3" s="1"/>
  <c r="B4" i="11" s="1"/>
  <c r="C37" i="3"/>
  <c r="C5" i="3" s="1"/>
  <c r="F4" i="12" s="1"/>
  <c r="F20" i="12" s="1"/>
  <c r="F7" i="5"/>
  <c r="F23" i="5"/>
  <c r="B12" i="4"/>
  <c r="B39" i="4"/>
  <c r="B24" i="4"/>
  <c r="B13" i="4"/>
  <c r="C43" i="3"/>
  <c r="C44" i="3" s="1"/>
  <c r="C6" i="3" s="1"/>
  <c r="F4" i="11" s="1"/>
  <c r="B36" i="3"/>
  <c r="B37" i="3" s="1"/>
  <c r="B5" i="3" s="1"/>
  <c r="B4" i="12" s="1"/>
  <c r="B50" i="3"/>
  <c r="B51" i="3" s="1"/>
  <c r="B7" i="3" s="1"/>
  <c r="B4" i="5" s="1"/>
  <c r="F11" i="5"/>
  <c r="F43" i="5"/>
  <c r="B16" i="3"/>
  <c r="B2" i="3" s="1"/>
  <c r="B4" i="7" s="1"/>
  <c r="B32" i="7" s="1"/>
  <c r="D32" i="7" s="1"/>
  <c r="C16" i="3"/>
  <c r="C2" i="3" s="1"/>
  <c r="B23" i="3"/>
  <c r="F32" i="12"/>
  <c r="F12" i="5"/>
  <c r="F16" i="5"/>
  <c r="F20" i="5"/>
  <c r="F28" i="5"/>
  <c r="F32" i="5"/>
  <c r="F36" i="5"/>
  <c r="F5" i="5"/>
  <c r="F9" i="5"/>
  <c r="F17" i="5"/>
  <c r="F21" i="5"/>
  <c r="F25" i="5"/>
  <c r="F33" i="5"/>
  <c r="F37" i="5"/>
  <c r="F16" i="12" l="1"/>
  <c r="B16" i="7"/>
  <c r="D16" i="7" s="1"/>
  <c r="F29" i="5"/>
  <c r="F13" i="5"/>
  <c r="F40" i="5"/>
  <c r="F24" i="5"/>
  <c r="F8" i="5"/>
  <c r="F27" i="5"/>
  <c r="F19" i="5"/>
  <c r="F14" i="5"/>
  <c r="F41" i="5"/>
  <c r="F18" i="5"/>
  <c r="F34" i="5"/>
  <c r="F39" i="5"/>
  <c r="F35" i="5"/>
  <c r="F6" i="5"/>
  <c r="F22" i="5"/>
  <c r="B39" i="11"/>
  <c r="B38" i="11"/>
  <c r="B36" i="11"/>
  <c r="B37" i="11"/>
  <c r="B24" i="11"/>
  <c r="B8" i="11"/>
  <c r="B32" i="11"/>
  <c r="B33" i="11"/>
  <c r="B20" i="11"/>
  <c r="B42" i="11"/>
  <c r="B40" i="11"/>
  <c r="B28" i="11"/>
  <c r="B35" i="11"/>
  <c r="B34" i="11"/>
  <c r="B31" i="11"/>
  <c r="B30" i="11"/>
  <c r="B25" i="11"/>
  <c r="B29" i="11"/>
  <c r="B16" i="11"/>
  <c r="B43" i="11"/>
  <c r="B41" i="11"/>
  <c r="B12" i="11"/>
  <c r="F28" i="12"/>
  <c r="F12" i="12"/>
  <c r="F4" i="7"/>
  <c r="F14" i="7" s="1"/>
  <c r="G14" i="7" s="1"/>
  <c r="F24" i="12"/>
  <c r="F8" i="12"/>
  <c r="F36" i="12"/>
  <c r="F31" i="5"/>
  <c r="F15" i="5"/>
  <c r="B28" i="7"/>
  <c r="D28" i="7" s="1"/>
  <c r="B20" i="7"/>
  <c r="D20" i="7" s="1"/>
  <c r="B36" i="7"/>
  <c r="D36" i="7" s="1"/>
  <c r="F30" i="7"/>
  <c r="G30" i="7" s="1"/>
  <c r="F25" i="7"/>
  <c r="G25" i="7" s="1"/>
  <c r="B8" i="7"/>
  <c r="D8" i="7" s="1"/>
  <c r="B24" i="7"/>
  <c r="D24" i="7" s="1"/>
  <c r="B40" i="7"/>
  <c r="D40" i="7" s="1"/>
  <c r="B12" i="7"/>
  <c r="D12" i="7" s="1"/>
  <c r="B34" i="4"/>
  <c r="B22" i="4"/>
  <c r="B3" i="4"/>
  <c r="B7" i="4"/>
  <c r="B33" i="4"/>
  <c r="B5" i="4"/>
  <c r="B16" i="4"/>
  <c r="B26" i="4"/>
  <c r="B37" i="4"/>
  <c r="B15" i="4"/>
  <c r="B4" i="4"/>
  <c r="B14" i="4"/>
  <c r="B25" i="4"/>
  <c r="B36" i="4"/>
  <c r="B11" i="4"/>
  <c r="B8" i="4"/>
  <c r="B18" i="4"/>
  <c r="B29" i="4"/>
  <c r="B40" i="4"/>
  <c r="B23" i="4"/>
  <c r="B6" i="4"/>
  <c r="B17" i="4"/>
  <c r="B28" i="4"/>
  <c r="B38" i="4"/>
  <c r="B27" i="4"/>
  <c r="B10" i="4"/>
  <c r="B21" i="4"/>
  <c r="B32" i="4"/>
  <c r="B42" i="4"/>
  <c r="B31" i="4"/>
  <c r="B9" i="4"/>
  <c r="B20" i="4"/>
  <c r="B30" i="4"/>
  <c r="B41" i="4"/>
  <c r="B19" i="4"/>
  <c r="B30" i="2"/>
  <c r="B25" i="2"/>
  <c r="B12" i="2"/>
  <c r="B9" i="2"/>
  <c r="B14" i="2"/>
  <c r="B28" i="2"/>
  <c r="B8" i="2"/>
  <c r="B24" i="2"/>
  <c r="B37" i="2"/>
  <c r="B21" i="2"/>
  <c r="B5" i="2"/>
  <c r="B42" i="2"/>
  <c r="B26" i="2"/>
  <c r="B10" i="2"/>
  <c r="B15" i="2"/>
  <c r="B31" i="2"/>
  <c r="B11" i="2"/>
  <c r="B32" i="2"/>
  <c r="B33" i="2"/>
  <c r="B17" i="2"/>
  <c r="B38" i="2"/>
  <c r="B22" i="2"/>
  <c r="B6" i="2"/>
  <c r="B4" i="2"/>
  <c r="B20" i="2"/>
  <c r="B36" i="2"/>
  <c r="B16" i="2"/>
  <c r="B35" i="2"/>
  <c r="B29" i="2"/>
  <c r="B13" i="2"/>
  <c r="B34" i="2"/>
  <c r="B18" i="2"/>
  <c r="B7" i="2"/>
  <c r="B23" i="2"/>
  <c r="B39" i="2"/>
  <c r="B19" i="2"/>
  <c r="B40" i="2"/>
  <c r="B27" i="2"/>
  <c r="B41" i="5"/>
  <c r="B42" i="5"/>
  <c r="B38" i="5"/>
  <c r="B34" i="5"/>
  <c r="B30" i="5"/>
  <c r="B26" i="5"/>
  <c r="B22" i="5"/>
  <c r="B18" i="5"/>
  <c r="B14" i="5"/>
  <c r="B10" i="5"/>
  <c r="B6" i="5"/>
  <c r="B9" i="5"/>
  <c r="B25" i="5"/>
  <c r="B40" i="5"/>
  <c r="B24" i="5"/>
  <c r="B8" i="5"/>
  <c r="B31" i="5"/>
  <c r="B15" i="5"/>
  <c r="B28" i="5"/>
  <c r="B19" i="5"/>
  <c r="B13" i="5"/>
  <c r="B29" i="5"/>
  <c r="B36" i="5"/>
  <c r="B20" i="5"/>
  <c r="B43" i="5"/>
  <c r="B27" i="5"/>
  <c r="B11" i="5"/>
  <c r="B5" i="5"/>
  <c r="B21" i="5"/>
  <c r="B37" i="5"/>
  <c r="B35" i="5"/>
  <c r="B17" i="5"/>
  <c r="B33" i="5"/>
  <c r="B32" i="5"/>
  <c r="B16" i="5"/>
  <c r="B39" i="5"/>
  <c r="B23" i="5"/>
  <c r="B7" i="5"/>
  <c r="B12" i="5"/>
  <c r="B39" i="12"/>
  <c r="B23" i="12"/>
  <c r="B7" i="12"/>
  <c r="B9" i="12"/>
  <c r="B14" i="12"/>
  <c r="B20" i="12"/>
  <c r="B25" i="12"/>
  <c r="B30" i="12"/>
  <c r="B36" i="12"/>
  <c r="B41" i="12"/>
  <c r="B27" i="12"/>
  <c r="B13" i="12"/>
  <c r="B29" i="12"/>
  <c r="B40" i="12"/>
  <c r="B35" i="12"/>
  <c r="B19" i="12"/>
  <c r="B5" i="12"/>
  <c r="B10" i="12"/>
  <c r="B16" i="12"/>
  <c r="B21" i="12"/>
  <c r="B26" i="12"/>
  <c r="B32" i="12"/>
  <c r="B37" i="12"/>
  <c r="B42" i="12"/>
  <c r="B11" i="12"/>
  <c r="B18" i="12"/>
  <c r="B34" i="12"/>
  <c r="B31" i="12"/>
  <c r="B15" i="12"/>
  <c r="B6" i="12"/>
  <c r="B12" i="12"/>
  <c r="B17" i="12"/>
  <c r="B22" i="12"/>
  <c r="B28" i="12"/>
  <c r="B33" i="12"/>
  <c r="B38" i="12"/>
  <c r="B43" i="12"/>
  <c r="B8" i="12"/>
  <c r="B24" i="12"/>
  <c r="F27" i="11"/>
  <c r="F34" i="11"/>
  <c r="F14" i="11"/>
  <c r="F6" i="11"/>
  <c r="F30" i="11"/>
  <c r="F42" i="11"/>
  <c r="F18" i="11"/>
  <c r="F10" i="11"/>
  <c r="F38" i="11"/>
  <c r="F23" i="11"/>
  <c r="F32" i="11"/>
  <c r="F35" i="11"/>
  <c r="F25" i="11"/>
  <c r="F9" i="11"/>
  <c r="F8" i="11"/>
  <c r="F16" i="11"/>
  <c r="F33" i="11"/>
  <c r="F22" i="11"/>
  <c r="F15" i="11"/>
  <c r="F24" i="11"/>
  <c r="F28" i="11"/>
  <c r="F31" i="11"/>
  <c r="F21" i="11"/>
  <c r="F5" i="11"/>
  <c r="F11" i="11"/>
  <c r="F19" i="11"/>
  <c r="F37" i="11"/>
  <c r="F36" i="11"/>
  <c r="F13" i="11"/>
  <c r="F29" i="11"/>
  <c r="F40" i="11"/>
  <c r="F43" i="11"/>
  <c r="F26" i="11"/>
  <c r="F17" i="11"/>
  <c r="F12" i="11"/>
  <c r="F20" i="11"/>
  <c r="F41" i="11"/>
  <c r="F39" i="11"/>
  <c r="F7" i="11"/>
  <c r="F4" i="13"/>
  <c r="C3" i="3"/>
  <c r="F31" i="7"/>
  <c r="G31" i="7" s="1"/>
  <c r="F24" i="7"/>
  <c r="G24" i="7" s="1"/>
  <c r="F36" i="7"/>
  <c r="G36" i="7" s="1"/>
  <c r="F20" i="7"/>
  <c r="G20" i="7" s="1"/>
  <c r="F39" i="7"/>
  <c r="G39" i="7" s="1"/>
  <c r="F32" i="7"/>
  <c r="G32" i="7" s="1"/>
  <c r="F11" i="7"/>
  <c r="G11" i="7" s="1"/>
  <c r="F16" i="7"/>
  <c r="G16" i="7" s="1"/>
  <c r="F15" i="7"/>
  <c r="G15" i="7" s="1"/>
  <c r="F35" i="7"/>
  <c r="G35" i="7" s="1"/>
  <c r="F7" i="7"/>
  <c r="G7" i="7" s="1"/>
  <c r="F28" i="7"/>
  <c r="G28" i="7" s="1"/>
  <c r="F12" i="7"/>
  <c r="G12" i="7" s="1"/>
  <c r="F5" i="7"/>
  <c r="G5" i="7" s="1"/>
  <c r="B4" i="13"/>
  <c r="B3" i="3"/>
  <c r="B39" i="7"/>
  <c r="D39" i="7" s="1"/>
  <c r="B37" i="7"/>
  <c r="D37" i="7" s="1"/>
  <c r="B30" i="7"/>
  <c r="D30" i="7" s="1"/>
  <c r="B23" i="7"/>
  <c r="D23" i="7" s="1"/>
  <c r="B21" i="7"/>
  <c r="D21" i="7" s="1"/>
  <c r="B35" i="7"/>
  <c r="D35" i="7" s="1"/>
  <c r="B33" i="7"/>
  <c r="D33" i="7" s="1"/>
  <c r="B26" i="7"/>
  <c r="D26" i="7" s="1"/>
  <c r="B38" i="7"/>
  <c r="D38" i="7" s="1"/>
  <c r="B31" i="7"/>
  <c r="D31" i="7" s="1"/>
  <c r="B29" i="7"/>
  <c r="D29" i="7" s="1"/>
  <c r="B22" i="7"/>
  <c r="D22" i="7" s="1"/>
  <c r="B34" i="7"/>
  <c r="D34" i="7" s="1"/>
  <c r="B25" i="7"/>
  <c r="D25" i="7" s="1"/>
  <c r="B19" i="7"/>
  <c r="D19" i="7" s="1"/>
  <c r="B17" i="7"/>
  <c r="D17" i="7" s="1"/>
  <c r="B10" i="7"/>
  <c r="D10" i="7" s="1"/>
  <c r="B5" i="7"/>
  <c r="D5" i="7" s="1"/>
  <c r="B13" i="7"/>
  <c r="D13" i="7" s="1"/>
  <c r="B6" i="7"/>
  <c r="D6" i="7" s="1"/>
  <c r="B41" i="7"/>
  <c r="D41" i="7" s="1"/>
  <c r="B27" i="7"/>
  <c r="D27" i="7" s="1"/>
  <c r="B15" i="7"/>
  <c r="D15" i="7" s="1"/>
  <c r="B7" i="7"/>
  <c r="D7" i="7" s="1"/>
  <c r="B18" i="7"/>
  <c r="D18" i="7" s="1"/>
  <c r="B11" i="7"/>
  <c r="D11" i="7" s="1"/>
  <c r="B9" i="7"/>
  <c r="D9" i="7" s="1"/>
  <c r="B14" i="7"/>
  <c r="D14" i="7" s="1"/>
  <c r="B26" i="11"/>
  <c r="B23" i="11"/>
  <c r="B18" i="11"/>
  <c r="B10" i="11"/>
  <c r="B21" i="11"/>
  <c r="B19" i="11"/>
  <c r="B13" i="11"/>
  <c r="B11" i="11"/>
  <c r="B5" i="11"/>
  <c r="B27" i="11"/>
  <c r="B22" i="11"/>
  <c r="B14" i="11"/>
  <c r="B6" i="11"/>
  <c r="B17" i="11"/>
  <c r="B9" i="11"/>
  <c r="B7" i="11"/>
  <c r="B15" i="11"/>
  <c r="F40" i="12"/>
  <c r="F43" i="12"/>
  <c r="F39" i="12"/>
  <c r="F35" i="12"/>
  <c r="F31" i="12"/>
  <c r="F27" i="12"/>
  <c r="F23" i="12"/>
  <c r="F19" i="12"/>
  <c r="F15" i="12"/>
  <c r="F11" i="12"/>
  <c r="F7" i="12"/>
  <c r="F41" i="12"/>
  <c r="F37" i="12"/>
  <c r="F33" i="12"/>
  <c r="F29" i="12"/>
  <c r="F25" i="12"/>
  <c r="F21" i="12"/>
  <c r="F17" i="12"/>
  <c r="F13" i="12"/>
  <c r="F9" i="12"/>
  <c r="F5" i="12"/>
  <c r="F30" i="12"/>
  <c r="F14" i="12"/>
  <c r="F18" i="12"/>
  <c r="F42" i="12"/>
  <c r="F26" i="12"/>
  <c r="F10" i="12"/>
  <c r="F38" i="12"/>
  <c r="F22" i="12"/>
  <c r="F6" i="12"/>
  <c r="F34" i="12"/>
  <c r="F19" i="7" l="1"/>
  <c r="G19" i="7" s="1"/>
  <c r="F8" i="7"/>
  <c r="G8" i="7" s="1"/>
  <c r="F23" i="7"/>
  <c r="G23" i="7" s="1"/>
  <c r="F27" i="7"/>
  <c r="G27" i="7" s="1"/>
  <c r="F40" i="7"/>
  <c r="G40" i="7" s="1"/>
  <c r="G4" i="7"/>
  <c r="F29" i="7"/>
  <c r="G29" i="7" s="1"/>
  <c r="F6" i="7"/>
  <c r="G6" i="7" s="1"/>
  <c r="F26" i="7"/>
  <c r="G26" i="7" s="1"/>
  <c r="F33" i="7"/>
  <c r="G33" i="7" s="1"/>
  <c r="F22" i="7"/>
  <c r="G22" i="7" s="1"/>
  <c r="F21" i="7"/>
  <c r="G21" i="7" s="1"/>
  <c r="F10" i="7"/>
  <c r="G10" i="7" s="1"/>
  <c r="F34" i="7"/>
  <c r="G34" i="7" s="1"/>
  <c r="F37" i="7"/>
  <c r="G37" i="7" s="1"/>
  <c r="F17" i="7"/>
  <c r="G17" i="7" s="1"/>
  <c r="F18" i="7"/>
  <c r="G18" i="7" s="1"/>
  <c r="F38" i="7"/>
  <c r="G38" i="7" s="1"/>
  <c r="F13" i="7"/>
  <c r="G13" i="7" s="1"/>
  <c r="F9" i="7"/>
  <c r="G9" i="7" s="1"/>
  <c r="F41" i="7"/>
  <c r="G41" i="7" s="1"/>
  <c r="B41" i="13"/>
  <c r="B25" i="13"/>
  <c r="B9" i="13"/>
  <c r="B8" i="13"/>
  <c r="B24" i="13"/>
  <c r="B40" i="13"/>
  <c r="B23" i="13"/>
  <c r="B39" i="13"/>
  <c r="B18" i="13"/>
  <c r="B34" i="13"/>
  <c r="B29" i="13"/>
  <c r="B6" i="13"/>
  <c r="B36" i="13"/>
  <c r="B14" i="13"/>
  <c r="B37" i="13"/>
  <c r="B21" i="13"/>
  <c r="B7" i="13"/>
  <c r="B12" i="13"/>
  <c r="B28" i="13"/>
  <c r="B11" i="13"/>
  <c r="B27" i="13"/>
  <c r="B43" i="13"/>
  <c r="B22" i="13"/>
  <c r="B38" i="13"/>
  <c r="B13" i="13"/>
  <c r="B20" i="13"/>
  <c r="B19" i="13"/>
  <c r="B30" i="13"/>
  <c r="B33" i="13"/>
  <c r="B17" i="13"/>
  <c r="B5" i="13"/>
  <c r="B16" i="13"/>
  <c r="B32" i="13"/>
  <c r="B15" i="13"/>
  <c r="B31" i="13"/>
  <c r="B10" i="13"/>
  <c r="B26" i="13"/>
  <c r="B42" i="13"/>
  <c r="B35" i="13"/>
  <c r="F39" i="13"/>
  <c r="F23" i="13"/>
  <c r="F7" i="13"/>
  <c r="F35" i="13"/>
  <c r="F19" i="13"/>
  <c r="F5" i="13"/>
  <c r="F31" i="13"/>
  <c r="F15" i="13"/>
  <c r="F6" i="13"/>
  <c r="F27" i="13"/>
  <c r="F43" i="13"/>
  <c r="F11" i="13"/>
  <c r="F42" i="13"/>
  <c r="F26" i="13"/>
  <c r="F10" i="13"/>
  <c r="F13" i="13"/>
  <c r="F21" i="13"/>
  <c r="F29" i="13"/>
  <c r="F37" i="13"/>
  <c r="F20" i="13"/>
  <c r="F38" i="13"/>
  <c r="F22" i="13"/>
  <c r="F8" i="13"/>
  <c r="F16" i="13"/>
  <c r="F24" i="13"/>
  <c r="F32" i="13"/>
  <c r="F40" i="13"/>
  <c r="F12" i="13"/>
  <c r="F36" i="13"/>
  <c r="F34" i="13"/>
  <c r="F18" i="13"/>
  <c r="F9" i="13"/>
  <c r="F17" i="13"/>
  <c r="F25" i="13"/>
  <c r="F33" i="13"/>
  <c r="F41" i="13"/>
  <c r="F30" i="13"/>
  <c r="F28" i="13"/>
  <c r="F14" i="13"/>
  <c r="I20" i="14"/>
  <c r="I24" i="14" s="1"/>
</calcChain>
</file>

<file path=xl/sharedStrings.xml><?xml version="1.0" encoding="utf-8"?>
<sst xmlns="http://schemas.openxmlformats.org/spreadsheetml/2006/main" count="382" uniqueCount="102">
  <si>
    <t>SALARIOS BRUTOS</t>
  </si>
  <si>
    <t>SUELDO</t>
  </si>
  <si>
    <t>P.P. EXTRAS</t>
  </si>
  <si>
    <t>INDEMNIZACION</t>
  </si>
  <si>
    <t>C. DESTINO (18)</t>
  </si>
  <si>
    <t>C. ESPECIFICO (28)</t>
  </si>
  <si>
    <t>C. DESTINO (14)</t>
  </si>
  <si>
    <t>C. ESPECIFICO (24)</t>
  </si>
  <si>
    <t>INDENIZACION</t>
  </si>
  <si>
    <t>€/MES (MÍNIMOS)</t>
  </si>
  <si>
    <t>€/MES (MAXIMOS)</t>
  </si>
  <si>
    <t>€/MES (MÁXIMOS)</t>
  </si>
  <si>
    <t>€/MES (MINIMOS)</t>
  </si>
  <si>
    <t>SUELDO (B)</t>
  </si>
  <si>
    <t>BASE MINIMA/HORA Tº PARCIAL GRUPO 1</t>
  </si>
  <si>
    <t>BASE MINIMA G1</t>
  </si>
  <si>
    <t>BASE MINIMA/HORA Tº PARCIAL GRUPO 2</t>
  </si>
  <si>
    <t>BASE MINIMA/HORA Tº PARCIAL GRUPO 4-11</t>
  </si>
  <si>
    <t>12 DIAS</t>
  </si>
  <si>
    <t>Retribución/año (*1)</t>
  </si>
  <si>
    <t>mínimas</t>
  </si>
  <si>
    <t>máximas</t>
  </si>
  <si>
    <t>PERSONAL INVESTIGADOR</t>
  </si>
  <si>
    <t>Investigador en Formación</t>
  </si>
  <si>
    <t>PERSONAL COLABORADOR EN TAREAS DE INVESTIGACIÓN</t>
  </si>
  <si>
    <t>Titulados superiores I</t>
  </si>
  <si>
    <t>Titulados superiores II</t>
  </si>
  <si>
    <t>Titulados de grado medio</t>
  </si>
  <si>
    <t>Especialistas Técnicos (*2)</t>
  </si>
  <si>
    <t>Auxiliares (*2)</t>
  </si>
  <si>
    <t>TOTAL</t>
  </si>
  <si>
    <t>INVESTIGADOR EN FORMACIÓN</t>
  </si>
  <si>
    <t>INVESTIGADOR JUNIOR</t>
  </si>
  <si>
    <t>INVESTIGADOR SENIOR</t>
  </si>
  <si>
    <t>BASE MINIMA/HORA Tº PARCIAL GRUPO 5</t>
  </si>
  <si>
    <t>AUXILIAR</t>
  </si>
  <si>
    <t>TOTAL…………………</t>
  </si>
  <si>
    <t>TOTAL…………….</t>
  </si>
  <si>
    <t>ESPECIALISTA TECNICO</t>
  </si>
  <si>
    <t>TITULADO SUPERIOR I</t>
  </si>
  <si>
    <t>TITULADO SUPERIOR II</t>
  </si>
  <si>
    <t>TITULADO DE GRADO MEDIO</t>
  </si>
  <si>
    <t>Complemento Compensatorio CD</t>
  </si>
  <si>
    <t>Investigador Senior</t>
  </si>
  <si>
    <t>Investigador Junior</t>
  </si>
  <si>
    <t>DEDICACION HORAS  SEMANALES</t>
  </si>
  <si>
    <t xml:space="preserve">RETRIBUCION MENSUAL BRUTA </t>
  </si>
  <si>
    <t>RETRIBUCIONES MINIMAS</t>
  </si>
  <si>
    <t>RETRIBUCIONES MAXIMAS</t>
  </si>
  <si>
    <t>TABLAS 2018 CON INCREMENTO 1,75%</t>
  </si>
  <si>
    <t>CUOTA  SEG.SOCIAL 32,60%</t>
  </si>
  <si>
    <t>CUOTA SEG.SOCIAL 32,60%</t>
  </si>
  <si>
    <t xml:space="preserve">TABLAS RETRIBUTIVAS DEL PERSONAL INVESTIGADOR AÑO 2019                                                                                                             </t>
  </si>
  <si>
    <t xml:space="preserve">TABLAS RETRIBUTIVAS DEL PERSONAL INVESTIGADOR AÑO 2019                                                                                                            </t>
  </si>
  <si>
    <t xml:space="preserve">TABLAS RETRIBUTIVAS DEL PERSONAL INVESTIGADOR AÑO 2019                                                                                                           </t>
  </si>
  <si>
    <t>TABLAS RETRIBUTIVAS DEL PERSONAL INVESTIGADOR AÑO 2019</t>
  </si>
  <si>
    <t>TABLAS 2019 CON INCREMENTO 2,25%</t>
  </si>
  <si>
    <t>Grupo de Cotización</t>
  </si>
  <si>
    <t>CONTINGENCIAS COMUNES</t>
  </si>
  <si>
    <t>BASE MINIMA HORA</t>
  </si>
  <si>
    <t>TOPE MÍNIMO</t>
  </si>
  <si>
    <t>TOPE MÁXIMO</t>
  </si>
  <si>
    <t>CONTINGENCIAS PROFESIONALES</t>
  </si>
  <si>
    <t>Base Cotización</t>
  </si>
  <si>
    <t>Tipos cotización %</t>
  </si>
  <si>
    <t>Cuota Patronal</t>
  </si>
  <si>
    <t>Contingencias Comunes</t>
  </si>
  <si>
    <t>Contingencias Profesionales</t>
  </si>
  <si>
    <t>Bases mínimas euros/mes</t>
  </si>
  <si>
    <t>Bases máximas euros/mes</t>
  </si>
  <si>
    <t>CALCULADORA COSTE SEG.SOCIAL TIEMPO COMPLETO</t>
  </si>
  <si>
    <t>TOTAL COSTE SEGURIDAD SOCIAL</t>
  </si>
  <si>
    <r>
      <rPr>
        <sz val="9"/>
        <color rgb="FF0033CC"/>
        <rFont val="Verdana"/>
        <family val="2"/>
      </rPr>
      <t>Por favor, introduzca la</t>
    </r>
    <r>
      <rPr>
        <b/>
        <sz val="9"/>
        <color rgb="FF0033CC"/>
        <rFont val="Verdana"/>
        <family val="2"/>
      </rPr>
      <t xml:space="preserve"> RETRIBUCION MENSUAL BRUTA PROPUESTA </t>
    </r>
    <r>
      <rPr>
        <sz val="9"/>
        <color rgb="FF0033CC"/>
        <rFont val="Verdana"/>
        <family val="2"/>
      </rPr>
      <t xml:space="preserve">para </t>
    </r>
    <r>
      <rPr>
        <b/>
        <sz val="9"/>
        <color rgb="FF0033CC"/>
        <rFont val="Verdana"/>
        <family val="2"/>
      </rPr>
      <t>40h/semana ………………………………</t>
    </r>
  </si>
  <si>
    <r>
      <rPr>
        <sz val="9"/>
        <color rgb="FF0033CC"/>
        <rFont val="Verdana"/>
        <family val="2"/>
      </rPr>
      <t>Por favor, introduzca la</t>
    </r>
    <r>
      <rPr>
        <b/>
        <sz val="9"/>
        <color rgb="FF0033CC"/>
        <rFont val="Verdana"/>
        <family val="2"/>
      </rPr>
      <t xml:space="preserve"> DEDICACION de HORAS semanales…………………………….……………………………….</t>
    </r>
  </si>
  <si>
    <t>CALCULADORA COSTE SEG.SOCIAL TIEMPO PARCIAL</t>
  </si>
  <si>
    <t>TOTAL COSTE SEGURIDAD SOCIAL……..</t>
  </si>
  <si>
    <t>CALCULO RC</t>
  </si>
  <si>
    <r>
      <rPr>
        <b/>
        <sz val="10"/>
        <rFont val="Verdana"/>
        <family val="2"/>
      </rPr>
      <t>(*) NOTA:</t>
    </r>
    <r>
      <rPr>
        <sz val="10"/>
        <rFont val="Verdana"/>
        <family val="2"/>
      </rPr>
      <t xml:space="preserve"> Para calcular el coste total del contrato/renovación para el periodo, utilice la siguiente plantilla………………………………………………………</t>
    </r>
  </si>
  <si>
    <r>
      <rPr>
        <sz val="9"/>
        <color rgb="FF0033CC"/>
        <rFont val="Verdana"/>
        <family val="2"/>
      </rPr>
      <t>Por favor, introduzca la</t>
    </r>
    <r>
      <rPr>
        <b/>
        <sz val="9"/>
        <color rgb="FF0033CC"/>
        <rFont val="Verdana"/>
        <family val="2"/>
      </rPr>
      <t xml:space="preserve"> RETRIBUCION MENSUAL PROPUESTA ……….……………….……………………………….</t>
    </r>
  </si>
  <si>
    <t>Base mín.Cotiz.</t>
  </si>
  <si>
    <t>Tipo cotización %</t>
  </si>
  <si>
    <t>1º año, no inferior a</t>
  </si>
  <si>
    <t>2º año, no inferior a</t>
  </si>
  <si>
    <t>3º año, no inferior a</t>
  </si>
  <si>
    <t>4º año, no inferior a</t>
  </si>
  <si>
    <t xml:space="preserve">RETRIBUCION BRUTA ANUAL  </t>
  </si>
  <si>
    <t>Prorrateo de la cuantía, para percibir identica cuantia anual</t>
  </si>
  <si>
    <r>
      <t>(</t>
    </r>
    <r>
      <rPr>
        <b/>
        <sz val="9"/>
        <rFont val="Verdana"/>
        <family val="2"/>
      </rPr>
      <t xml:space="preserve">*) NOTA: </t>
    </r>
    <r>
      <rPr>
        <sz val="9"/>
        <rFont val="Verdana"/>
        <family val="2"/>
      </rPr>
      <t xml:space="preserve">Cuando la dedicación es a </t>
    </r>
    <r>
      <rPr>
        <b/>
        <sz val="9"/>
        <rFont val="Verdana"/>
        <family val="2"/>
      </rPr>
      <t>TIEMPO PARCIAL</t>
    </r>
    <r>
      <rPr>
        <sz val="9"/>
        <rFont val="Verdana"/>
        <family val="2"/>
      </rPr>
      <t xml:space="preserve">, para retribuciones distintas a las establecidas en tablas, según bases de la convocatoria, usar la siguiente calculadora para determinar el coste de Seguridad Social </t>
    </r>
  </si>
  <si>
    <r>
      <t>(</t>
    </r>
    <r>
      <rPr>
        <b/>
        <sz val="9"/>
        <rFont val="Verdana"/>
        <family val="2"/>
      </rPr>
      <t xml:space="preserve">*) NOTA: </t>
    </r>
    <r>
      <rPr>
        <sz val="9"/>
        <rFont val="Verdana"/>
        <family val="2"/>
      </rPr>
      <t xml:space="preserve">Cuando la dedicación es a </t>
    </r>
    <r>
      <rPr>
        <b/>
        <sz val="9"/>
        <rFont val="Verdana"/>
        <family val="2"/>
      </rPr>
      <t>TIEMPO PARCIAL</t>
    </r>
    <r>
      <rPr>
        <sz val="9"/>
        <rFont val="Verdana"/>
        <family val="2"/>
      </rPr>
      <t xml:space="preserve">, para retribuciones comprendidas </t>
    </r>
    <r>
      <rPr>
        <b/>
        <sz val="9"/>
        <rFont val="Verdana"/>
        <family val="2"/>
      </rPr>
      <t>en el rango del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intervalo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establecido</t>
    </r>
    <r>
      <rPr>
        <sz val="9"/>
        <rFont val="Verdana"/>
        <family val="2"/>
      </rPr>
      <t xml:space="preserve">, usar la siguiente calculadora para determinar el coste de Seguridad Social </t>
    </r>
  </si>
  <si>
    <r>
      <t>(</t>
    </r>
    <r>
      <rPr>
        <b/>
        <sz val="9"/>
        <rFont val="Verdana"/>
        <family val="2"/>
      </rPr>
      <t xml:space="preserve">*) NOTA: </t>
    </r>
    <r>
      <rPr>
        <sz val="9"/>
        <rFont val="Verdana"/>
        <family val="2"/>
      </rPr>
      <t xml:space="preserve">Cuando la dedicación es a </t>
    </r>
    <r>
      <rPr>
        <b/>
        <sz val="9"/>
        <rFont val="Verdana"/>
        <family val="2"/>
      </rPr>
      <t>TIEMPO PARCIAL</t>
    </r>
    <r>
      <rPr>
        <sz val="9"/>
        <rFont val="Verdana"/>
        <family val="2"/>
      </rPr>
      <t>, para retribuciones comprendidas en el</t>
    </r>
    <r>
      <rPr>
        <b/>
        <sz val="9"/>
        <rFont val="Verdana"/>
        <family val="2"/>
      </rPr>
      <t xml:space="preserve"> rango del intervalo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establecido</t>
    </r>
    <r>
      <rPr>
        <sz val="9"/>
        <rFont val="Verdana"/>
        <family val="2"/>
      </rPr>
      <t xml:space="preserve">, usar la siguiente calculadora para determinar el coste de Seguridad Social </t>
    </r>
  </si>
  <si>
    <t>RETRIBUCION BRUTA MENSUAL (12 pagas)</t>
  </si>
  <si>
    <t>RETRIBUCION MÍNIMA A PERCIBIR (TIEMPO COMPLETO)</t>
  </si>
  <si>
    <t xml:space="preserve">TABLAS RETRIBUTIVAS DEL PERSONAL INVESTIGADOR EN FORMACIÓN            AÑO  2019                                                                                                             </t>
  </si>
  <si>
    <t>CONTRATO PREDOCTORAL</t>
  </si>
  <si>
    <t>Grupo de Cotización 1</t>
  </si>
  <si>
    <t>Base mínima/hora</t>
  </si>
  <si>
    <t>TOTAL COSTE SEGURIDAD SOCIAL……………..</t>
  </si>
  <si>
    <r>
      <rPr>
        <sz val="9"/>
        <color rgb="FF0033CC"/>
        <rFont val="Verdana"/>
        <family val="2"/>
      </rPr>
      <t>Por favor, introduzca la</t>
    </r>
    <r>
      <rPr>
        <b/>
        <sz val="9"/>
        <color rgb="FF0033CC"/>
        <rFont val="Verdana"/>
        <family val="2"/>
      </rPr>
      <t xml:space="preserve"> RETRIBUCION MENSUAL BRUTA PROPUESTA:</t>
    </r>
  </si>
  <si>
    <t>RETRIBUCION BRUTA MENSUAL (14 pagas)</t>
  </si>
  <si>
    <t>TOTAL COSTE SEGURIDAD SOCIAL……………………</t>
  </si>
  <si>
    <r>
      <t xml:space="preserve">CALCULADORA COSTE SEG.SOCIAL CONTRATO </t>
    </r>
    <r>
      <rPr>
        <b/>
        <sz val="11"/>
        <color rgb="FFFF0000"/>
        <rFont val="Verdana"/>
        <family val="2"/>
      </rPr>
      <t>PREDOCTORAL</t>
    </r>
  </si>
  <si>
    <r>
      <t xml:space="preserve">CALCULADORA COSTE SEG.SOCIAL CONTRATO                                                               </t>
    </r>
    <r>
      <rPr>
        <b/>
        <sz val="11"/>
        <color rgb="FFFF0000"/>
        <rFont val="Verdana"/>
        <family val="2"/>
      </rPr>
      <t xml:space="preserve"> EN PRÁCTICAS/ACCESO CIENCIA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</si>
</sst>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u/>
      <sz val="10"/>
      <name val="Verdana"/>
      <family val="2"/>
    </font>
    <font>
      <sz val="10"/>
      <name val="Verdana"/>
      <family val="2"/>
    </font>
    <font>
      <b/>
      <sz val="11"/>
      <color rgb="FF00000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b/>
      <u/>
      <sz val="10"/>
      <name val="Verdana"/>
      <family val="2"/>
    </font>
    <font>
      <sz val="11"/>
      <color rgb="FF000000"/>
      <name val="Verdana"/>
      <family val="2"/>
    </font>
    <font>
      <sz val="1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8"/>
      <color rgb="FF000000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sz val="10"/>
      <name val="Arial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9"/>
      <color rgb="FF0000CC"/>
      <name val="Verdana"/>
      <family val="2"/>
    </font>
    <font>
      <b/>
      <sz val="9"/>
      <color rgb="FF0033CC"/>
      <name val="Verdana"/>
      <family val="2"/>
    </font>
    <font>
      <sz val="9"/>
      <color rgb="FF0033CC"/>
      <name val="Verdana"/>
      <family val="2"/>
    </font>
    <font>
      <sz val="10"/>
      <color rgb="FF0033CC"/>
      <name val="Verdana"/>
      <family val="2"/>
    </font>
    <font>
      <i/>
      <sz val="10"/>
      <name val="Verdana"/>
      <family val="2"/>
    </font>
    <font>
      <b/>
      <sz val="10"/>
      <color rgb="FF0033CC"/>
      <name val="Verdana"/>
      <family val="2"/>
    </font>
    <font>
      <u/>
      <sz val="10"/>
      <color theme="10"/>
      <name val="Arial"/>
      <family val="2"/>
    </font>
    <font>
      <b/>
      <i/>
      <sz val="9"/>
      <color theme="0" tint="-0.34998626667073579"/>
      <name val="Verdana"/>
      <family val="2"/>
    </font>
    <font>
      <i/>
      <sz val="10"/>
      <color theme="0" tint="-0.34998626667073579"/>
      <name val="Verdana"/>
      <family val="2"/>
    </font>
    <font>
      <b/>
      <sz val="11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/>
      <right/>
      <top style="thin">
        <color auto="1"/>
      </top>
      <bottom style="dashed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ash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ashed">
        <color theme="0" tint="-0.2499465926084170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ashed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/>
      <right style="medium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dashed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dashed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2" fontId="4" fillId="0" borderId="0" xfId="0" applyNumberFormat="1" applyFont="1"/>
    <xf numFmtId="0" fontId="7" fillId="0" borderId="0" xfId="0" applyFont="1"/>
    <xf numFmtId="0" fontId="6" fillId="0" borderId="0" xfId="0" applyFont="1"/>
    <xf numFmtId="0" fontId="8" fillId="0" borderId="0" xfId="0" applyFont="1" applyBorder="1" applyAlignment="1">
      <alignment vertical="center"/>
    </xf>
    <xf numFmtId="0" fontId="7" fillId="0" borderId="13" xfId="0" applyFont="1" applyFill="1" applyBorder="1"/>
    <xf numFmtId="0" fontId="11" fillId="0" borderId="0" xfId="0" applyFont="1"/>
    <xf numFmtId="0" fontId="11" fillId="0" borderId="0" xfId="0" applyFont="1" applyAlignment="1">
      <alignment horizontal="right"/>
    </xf>
    <xf numFmtId="4" fontId="7" fillId="0" borderId="0" xfId="0" applyNumberFormat="1" applyFont="1"/>
    <xf numFmtId="0" fontId="9" fillId="0" borderId="18" xfId="0" applyFont="1" applyFill="1" applyBorder="1"/>
    <xf numFmtId="0" fontId="9" fillId="0" borderId="0" xfId="0" applyFont="1" applyFill="1" applyBorder="1"/>
    <xf numFmtId="0" fontId="7" fillId="0" borderId="0" xfId="0" applyFont="1" applyBorder="1"/>
    <xf numFmtId="2" fontId="9" fillId="0" borderId="0" xfId="0" applyNumberFormat="1" applyFont="1"/>
    <xf numFmtId="2" fontId="7" fillId="0" borderId="0" xfId="0" applyNumberFormat="1" applyFont="1"/>
    <xf numFmtId="2" fontId="7" fillId="0" borderId="0" xfId="0" applyNumberFormat="1" applyFont="1" applyBorder="1"/>
    <xf numFmtId="0" fontId="7" fillId="0" borderId="0" xfId="0" applyFont="1" applyAlignment="1">
      <alignment vertical="center"/>
    </xf>
    <xf numFmtId="0" fontId="7" fillId="0" borderId="18" xfId="0" applyFont="1" applyFill="1" applyBorder="1"/>
    <xf numFmtId="0" fontId="7" fillId="0" borderId="21" xfId="0" applyFont="1" applyFill="1" applyBorder="1"/>
    <xf numFmtId="0" fontId="7" fillId="0" borderId="19" xfId="0" applyFont="1" applyBorder="1"/>
    <xf numFmtId="0" fontId="7" fillId="0" borderId="20" xfId="0" applyFont="1" applyBorder="1"/>
    <xf numFmtId="0" fontId="16" fillId="2" borderId="4" xfId="0" applyFont="1" applyFill="1" applyBorder="1" applyAlignment="1">
      <alignment vertical="center"/>
    </xf>
    <xf numFmtId="0" fontId="9" fillId="0" borderId="0" xfId="0" applyFont="1"/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vertical="center"/>
    </xf>
    <xf numFmtId="2" fontId="9" fillId="0" borderId="28" xfId="0" applyNumberFormat="1" applyFont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 shrinkToFit="1"/>
    </xf>
    <xf numFmtId="0" fontId="13" fillId="0" borderId="9" xfId="0" applyFont="1" applyBorder="1" applyAlignment="1">
      <alignment vertical="center"/>
    </xf>
    <xf numFmtId="0" fontId="9" fillId="3" borderId="2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34" xfId="0" applyFont="1" applyBorder="1" applyAlignment="1">
      <alignment horizontal="center" vertical="center"/>
    </xf>
    <xf numFmtId="2" fontId="7" fillId="0" borderId="0" xfId="1" applyNumberFormat="1" applyFont="1" applyAlignment="1">
      <alignment horizontal="center"/>
    </xf>
    <xf numFmtId="164" fontId="9" fillId="0" borderId="4" xfId="1" applyFont="1" applyBorder="1" applyAlignment="1">
      <alignment horizontal="center" vertical="center" wrapText="1"/>
    </xf>
    <xf numFmtId="164" fontId="9" fillId="0" borderId="5" xfId="1" applyFont="1" applyBorder="1" applyAlignment="1">
      <alignment horizontal="center" vertical="center"/>
    </xf>
    <xf numFmtId="164" fontId="7" fillId="0" borderId="0" xfId="1" applyFont="1" applyAlignment="1">
      <alignment horizontal="center" vertical="center"/>
    </xf>
    <xf numFmtId="164" fontId="9" fillId="0" borderId="0" xfId="1" applyFont="1" applyAlignment="1">
      <alignment horizontal="center" vertical="center"/>
    </xf>
    <xf numFmtId="2" fontId="7" fillId="0" borderId="0" xfId="1" applyNumberFormat="1" applyFont="1" applyAlignment="1">
      <alignment horizontal="center" vertical="center"/>
    </xf>
    <xf numFmtId="2" fontId="7" fillId="0" borderId="32" xfId="1" applyNumberFormat="1" applyFont="1" applyBorder="1" applyAlignment="1">
      <alignment horizontal="center"/>
    </xf>
    <xf numFmtId="164" fontId="9" fillId="0" borderId="32" xfId="1" applyFont="1" applyBorder="1" applyAlignment="1">
      <alignment horizontal="center"/>
    </xf>
    <xf numFmtId="2" fontId="7" fillId="0" borderId="33" xfId="1" applyNumberFormat="1" applyFont="1" applyBorder="1" applyAlignment="1">
      <alignment horizontal="center"/>
    </xf>
    <xf numFmtId="164" fontId="9" fillId="0" borderId="33" xfId="1" applyFont="1" applyBorder="1" applyAlignment="1">
      <alignment horizontal="center"/>
    </xf>
    <xf numFmtId="0" fontId="19" fillId="0" borderId="35" xfId="0" applyFont="1" applyBorder="1" applyAlignment="1">
      <alignment vertical="center"/>
    </xf>
    <xf numFmtId="0" fontId="7" fillId="0" borderId="37" xfId="0" applyFont="1" applyFill="1" applyBorder="1" applyAlignment="1">
      <alignment horizontal="center"/>
    </xf>
    <xf numFmtId="2" fontId="7" fillId="0" borderId="37" xfId="1" applyNumberFormat="1" applyFont="1" applyBorder="1" applyAlignment="1">
      <alignment horizontal="center"/>
    </xf>
    <xf numFmtId="164" fontId="9" fillId="0" borderId="37" xfId="1" applyFont="1" applyBorder="1" applyAlignment="1">
      <alignment horizontal="center"/>
    </xf>
    <xf numFmtId="164" fontId="9" fillId="3" borderId="1" xfId="1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/>
    </xf>
    <xf numFmtId="2" fontId="9" fillId="3" borderId="1" xfId="1" applyNumberFormat="1" applyFont="1" applyFill="1" applyBorder="1" applyAlignment="1">
      <alignment horizontal="center" vertical="center" wrapText="1" shrinkToFit="1"/>
    </xf>
    <xf numFmtId="2" fontId="9" fillId="3" borderId="1" xfId="1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 shrinkToFit="1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/>
    </xf>
    <xf numFmtId="2" fontId="9" fillId="0" borderId="31" xfId="0" applyNumberFormat="1" applyFont="1" applyFill="1" applyBorder="1" applyAlignment="1">
      <alignment horizontal="center"/>
    </xf>
    <xf numFmtId="2" fontId="7" fillId="0" borderId="32" xfId="0" applyNumberFormat="1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center"/>
    </xf>
    <xf numFmtId="2" fontId="9" fillId="0" borderId="33" xfId="0" applyNumberFormat="1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 vertical="center" wrapText="1"/>
    </xf>
    <xf numFmtId="0" fontId="7" fillId="0" borderId="31" xfId="0" applyFont="1" applyFill="1" applyBorder="1"/>
    <xf numFmtId="0" fontId="7" fillId="0" borderId="32" xfId="0" applyFont="1" applyFill="1" applyBorder="1"/>
    <xf numFmtId="0" fontId="7" fillId="0" borderId="33" xfId="0" applyFont="1" applyFill="1" applyBorder="1"/>
    <xf numFmtId="0" fontId="9" fillId="0" borderId="0" xfId="0" applyFont="1" applyBorder="1"/>
    <xf numFmtId="2" fontId="9" fillId="3" borderId="39" xfId="0" applyNumberFormat="1" applyFont="1" applyFill="1" applyBorder="1" applyAlignment="1">
      <alignment horizontal="center" vertical="center" wrapText="1"/>
    </xf>
    <xf numFmtId="2" fontId="7" fillId="3" borderId="3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9" fillId="3" borderId="39" xfId="0" applyNumberFormat="1" applyFont="1" applyFill="1" applyBorder="1" applyAlignment="1">
      <alignment horizontal="center" vertical="center" wrapText="1" shrinkToFit="1"/>
    </xf>
    <xf numFmtId="2" fontId="7" fillId="3" borderId="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right" wrapText="1"/>
    </xf>
    <xf numFmtId="2" fontId="7" fillId="0" borderId="0" xfId="1" applyNumberFormat="1" applyFont="1" applyAlignment="1">
      <alignment vertical="center"/>
    </xf>
    <xf numFmtId="2" fontId="8" fillId="0" borderId="0" xfId="1" applyNumberFormat="1" applyFont="1" applyBorder="1" applyAlignment="1">
      <alignment vertical="center"/>
    </xf>
    <xf numFmtId="2" fontId="7" fillId="0" borderId="16" xfId="1" applyNumberFormat="1" applyFont="1" applyFill="1" applyBorder="1" applyAlignment="1">
      <alignment vertical="center"/>
    </xf>
    <xf numFmtId="2" fontId="10" fillId="0" borderId="16" xfId="1" applyNumberFormat="1" applyFont="1" applyFill="1" applyBorder="1" applyAlignment="1">
      <alignment vertical="center"/>
    </xf>
    <xf numFmtId="2" fontId="9" fillId="0" borderId="12" xfId="1" applyNumberFormat="1" applyFont="1" applyFill="1" applyBorder="1"/>
    <xf numFmtId="2" fontId="7" fillId="0" borderId="0" xfId="1" applyNumberFormat="1" applyFont="1"/>
    <xf numFmtId="2" fontId="7" fillId="0" borderId="0" xfId="1" applyNumberFormat="1" applyFont="1" applyBorder="1"/>
    <xf numFmtId="2" fontId="7" fillId="0" borderId="2" xfId="1" applyNumberFormat="1" applyFont="1" applyFill="1" applyBorder="1" applyAlignment="1">
      <alignment horizontal="right" wrapText="1"/>
    </xf>
    <xf numFmtId="2" fontId="7" fillId="0" borderId="3" xfId="1" applyNumberFormat="1" applyFont="1" applyFill="1" applyBorder="1" applyAlignment="1">
      <alignment horizontal="right" wrapText="1"/>
    </xf>
    <xf numFmtId="2" fontId="7" fillId="0" borderId="21" xfId="0" applyNumberFormat="1" applyFont="1" applyFill="1" applyBorder="1" applyAlignment="1">
      <alignment horizontal="right" wrapText="1"/>
    </xf>
    <xf numFmtId="2" fontId="7" fillId="0" borderId="0" xfId="0" applyNumberFormat="1" applyFont="1" applyAlignment="1">
      <alignment horizontal="right" wrapText="1"/>
    </xf>
    <xf numFmtId="2" fontId="7" fillId="0" borderId="0" xfId="1" applyNumberFormat="1" applyFont="1" applyBorder="1" applyAlignment="1">
      <alignment horizontal="right" wrapText="1"/>
    </xf>
    <xf numFmtId="2" fontId="7" fillId="0" borderId="22" xfId="1" applyNumberFormat="1" applyFont="1" applyBorder="1" applyAlignment="1">
      <alignment horizontal="right" wrapText="1"/>
    </xf>
    <xf numFmtId="2" fontId="9" fillId="0" borderId="8" xfId="1" applyNumberFormat="1" applyFont="1" applyBorder="1" applyAlignment="1">
      <alignment horizontal="right" wrapText="1"/>
    </xf>
    <xf numFmtId="2" fontId="9" fillId="0" borderId="23" xfId="1" applyNumberFormat="1" applyFont="1" applyBorder="1" applyAlignment="1">
      <alignment horizontal="right" wrapText="1"/>
    </xf>
    <xf numFmtId="2" fontId="9" fillId="0" borderId="0" xfId="0" applyNumberFormat="1" applyFont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2" fontId="9" fillId="0" borderId="4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9" fillId="0" borderId="4" xfId="0" applyNumberFormat="1" applyFont="1" applyFill="1" applyBorder="1" applyAlignment="1">
      <alignment horizontal="center" wrapText="1"/>
    </xf>
    <xf numFmtId="2" fontId="9" fillId="0" borderId="5" xfId="0" applyNumberFormat="1" applyFont="1" applyFill="1" applyBorder="1" applyAlignment="1">
      <alignment horizontal="center"/>
    </xf>
    <xf numFmtId="2" fontId="15" fillId="0" borderId="16" xfId="1" applyNumberFormat="1" applyFont="1" applyBorder="1" applyAlignment="1">
      <alignment horizontal="center" vertical="center"/>
    </xf>
    <xf numFmtId="2" fontId="15" fillId="0" borderId="7" xfId="1" applyNumberFormat="1" applyFont="1" applyBorder="1" applyAlignment="1">
      <alignment horizontal="center" vertical="center"/>
    </xf>
    <xf numFmtId="2" fontId="15" fillId="0" borderId="2" xfId="1" applyNumberFormat="1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2" fontId="20" fillId="0" borderId="16" xfId="1" applyNumberFormat="1" applyFont="1" applyBorder="1" applyAlignment="1">
      <alignment horizontal="center" vertical="center"/>
    </xf>
    <xf numFmtId="2" fontId="20" fillId="0" borderId="7" xfId="1" applyNumberFormat="1" applyFont="1" applyBorder="1" applyAlignment="1">
      <alignment horizontal="center" vertical="center"/>
    </xf>
    <xf numFmtId="2" fontId="21" fillId="0" borderId="2" xfId="1" applyNumberFormat="1" applyFont="1" applyBorder="1" applyAlignment="1">
      <alignment horizontal="center" vertical="center"/>
    </xf>
    <xf numFmtId="2" fontId="20" fillId="0" borderId="2" xfId="1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7" fillId="0" borderId="0" xfId="0" applyFont="1" applyAlignment="1"/>
    <xf numFmtId="0" fontId="9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2" fontId="7" fillId="0" borderId="29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26" fillId="0" borderId="6" xfId="0" applyFont="1" applyFill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30" fillId="0" borderId="0" xfId="0" applyFont="1" applyAlignment="1">
      <alignment horizontal="center" wrapText="1"/>
    </xf>
    <xf numFmtId="2" fontId="30" fillId="0" borderId="0" xfId="0" applyNumberFormat="1" applyFont="1"/>
    <xf numFmtId="0" fontId="30" fillId="0" borderId="0" xfId="0" applyFont="1"/>
    <xf numFmtId="0" fontId="30" fillId="0" borderId="0" xfId="0" applyFont="1" applyAlignment="1"/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31" fillId="0" borderId="21" xfId="0" applyFont="1" applyBorder="1" applyAlignment="1">
      <alignment vertical="center" wrapText="1"/>
    </xf>
    <xf numFmtId="8" fontId="31" fillId="0" borderId="21" xfId="0" applyNumberFormat="1" applyFont="1" applyBorder="1" applyAlignment="1">
      <alignment vertical="center"/>
    </xf>
    <xf numFmtId="0" fontId="31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horizontal="right" vertical="center"/>
    </xf>
    <xf numFmtId="8" fontId="32" fillId="2" borderId="6" xfId="2" applyNumberFormat="1" applyFont="1" applyFill="1" applyBorder="1" applyAlignment="1">
      <alignment vertical="center"/>
    </xf>
    <xf numFmtId="2" fontId="7" fillId="0" borderId="28" xfId="0" applyNumberFormat="1" applyFont="1" applyBorder="1" applyAlignment="1">
      <alignment horizontal="center" wrapText="1"/>
    </xf>
    <xf numFmtId="10" fontId="7" fillId="0" borderId="0" xfId="0" applyNumberFormat="1" applyFont="1" applyFill="1" applyBorder="1"/>
    <xf numFmtId="2" fontId="9" fillId="0" borderId="42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center"/>
    </xf>
    <xf numFmtId="2" fontId="31" fillId="0" borderId="6" xfId="3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4" fillId="0" borderId="6" xfId="0" applyFont="1" applyBorder="1" applyAlignment="1">
      <alignment horizontal="center" vertical="center"/>
    </xf>
    <xf numFmtId="2" fontId="15" fillId="0" borderId="16" xfId="1" applyNumberFormat="1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 wrapText="1"/>
    </xf>
    <xf numFmtId="2" fontId="9" fillId="3" borderId="46" xfId="0" applyNumberFormat="1" applyFont="1" applyFill="1" applyBorder="1" applyAlignment="1">
      <alignment horizontal="center" vertical="center" wrapText="1"/>
    </xf>
    <xf numFmtId="2" fontId="7" fillId="0" borderId="51" xfId="1" applyNumberFormat="1" applyFont="1" applyBorder="1" applyAlignment="1">
      <alignment horizontal="center"/>
    </xf>
    <xf numFmtId="2" fontId="7" fillId="0" borderId="35" xfId="1" applyNumberFormat="1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8" fillId="4" borderId="24" xfId="0" applyFont="1" applyFill="1" applyBorder="1" applyAlignment="1">
      <alignment vertical="center"/>
    </xf>
    <xf numFmtId="2" fontId="9" fillId="4" borderId="25" xfId="0" applyNumberFormat="1" applyFont="1" applyFill="1" applyBorder="1" applyAlignment="1">
      <alignment horizontal="center" wrapText="1"/>
    </xf>
    <xf numFmtId="2" fontId="9" fillId="4" borderId="26" xfId="0" applyNumberFormat="1" applyFont="1" applyFill="1" applyBorder="1" applyAlignment="1">
      <alignment horizontal="center" wrapText="1"/>
    </xf>
    <xf numFmtId="0" fontId="8" fillId="4" borderId="24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164" fontId="9" fillId="0" borderId="32" xfId="1" applyFont="1" applyBorder="1" applyAlignment="1">
      <alignment horizontal="center" vertical="center"/>
    </xf>
    <xf numFmtId="164" fontId="7" fillId="0" borderId="32" xfId="1" applyFont="1" applyBorder="1" applyAlignment="1">
      <alignment horizontal="center"/>
    </xf>
    <xf numFmtId="164" fontId="7" fillId="0" borderId="48" xfId="1" applyFont="1" applyBorder="1" applyAlignment="1">
      <alignment horizontal="center"/>
    </xf>
    <xf numFmtId="164" fontId="7" fillId="0" borderId="50" xfId="1" applyFont="1" applyBorder="1" applyAlignment="1">
      <alignment horizontal="center"/>
    </xf>
    <xf numFmtId="44" fontId="7" fillId="0" borderId="0" xfId="0" applyNumberFormat="1" applyFont="1"/>
    <xf numFmtId="44" fontId="32" fillId="2" borderId="6" xfId="2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8" fontId="32" fillId="2" borderId="6" xfId="2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2" fontId="31" fillId="2" borderId="6" xfId="2" applyNumberFormat="1" applyFont="1" applyFill="1" applyBorder="1" applyAlignment="1">
      <alignment horizontal="center" vertical="center"/>
    </xf>
    <xf numFmtId="44" fontId="4" fillId="0" borderId="0" xfId="2" applyFont="1"/>
    <xf numFmtId="0" fontId="28" fillId="0" borderId="0" xfId="0" applyFont="1" applyFill="1" applyBorder="1" applyAlignment="1">
      <alignment horizontal="left" vertical="center" wrapText="1"/>
    </xf>
    <xf numFmtId="0" fontId="16" fillId="0" borderId="43" xfId="0" applyFont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wrapText="1"/>
    </xf>
    <xf numFmtId="0" fontId="7" fillId="0" borderId="49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16" fillId="0" borderId="0" xfId="0" applyNumberFormat="1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 wrapText="1"/>
    </xf>
    <xf numFmtId="1" fontId="32" fillId="0" borderId="0" xfId="2" applyNumberFormat="1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right" vertical="center" wrapText="1"/>
    </xf>
    <xf numFmtId="0" fontId="27" fillId="2" borderId="14" xfId="0" applyFont="1" applyFill="1" applyBorder="1" applyAlignment="1">
      <alignment horizontal="right" vertical="center" wrapText="1"/>
    </xf>
    <xf numFmtId="0" fontId="27" fillId="2" borderId="5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33" fillId="0" borderId="0" xfId="4" applyBorder="1" applyAlignment="1">
      <alignment horizontal="center" vertical="center" wrapText="1"/>
    </xf>
    <xf numFmtId="2" fontId="35" fillId="0" borderId="2" xfId="0" applyNumberFormat="1" applyFont="1" applyBorder="1" applyAlignment="1">
      <alignment horizontal="center" vertical="center" wrapText="1"/>
    </xf>
    <xf numFmtId="2" fontId="35" fillId="0" borderId="3" xfId="0" applyNumberFormat="1" applyFont="1" applyBorder="1" applyAlignment="1">
      <alignment horizontal="center" vertical="center" wrapText="1"/>
    </xf>
    <xf numFmtId="2" fontId="31" fillId="0" borderId="7" xfId="0" applyNumberFormat="1" applyFont="1" applyBorder="1" applyAlignment="1">
      <alignment horizontal="center" vertical="center"/>
    </xf>
    <xf numFmtId="2" fontId="31" fillId="0" borderId="3" xfId="0" applyNumberFormat="1" applyFont="1" applyBorder="1" applyAlignment="1">
      <alignment horizontal="center" vertical="center"/>
    </xf>
    <xf numFmtId="2" fontId="31" fillId="0" borderId="7" xfId="3" applyNumberFormat="1" applyFont="1" applyBorder="1" applyAlignment="1">
      <alignment horizontal="center" vertical="center"/>
    </xf>
    <xf numFmtId="2" fontId="31" fillId="0" borderId="3" xfId="3" applyNumberFormat="1" applyFont="1" applyBorder="1" applyAlignment="1">
      <alignment horizontal="center" vertical="center"/>
    </xf>
    <xf numFmtId="8" fontId="31" fillId="0" borderId="7" xfId="0" applyNumberFormat="1" applyFont="1" applyBorder="1" applyAlignment="1">
      <alignment horizontal="right" vertical="center"/>
    </xf>
    <xf numFmtId="8" fontId="31" fillId="0" borderId="3" xfId="0" applyNumberFormat="1" applyFont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1" fontId="32" fillId="2" borderId="11" xfId="2" applyNumberFormat="1" applyFont="1" applyFill="1" applyBorder="1" applyAlignment="1">
      <alignment horizontal="center" vertical="center"/>
    </xf>
    <xf numFmtId="1" fontId="32" fillId="2" borderId="12" xfId="2" applyNumberFormat="1" applyFont="1" applyFill="1" applyBorder="1" applyAlignment="1">
      <alignment horizontal="center" vertical="center"/>
    </xf>
    <xf numFmtId="44" fontId="32" fillId="2" borderId="11" xfId="2" applyFont="1" applyFill="1" applyBorder="1" applyAlignment="1">
      <alignment horizontal="center" vertical="center"/>
    </xf>
    <xf numFmtId="44" fontId="32" fillId="2" borderId="12" xfId="2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8" fontId="31" fillId="0" borderId="7" xfId="0" applyNumberFormat="1" applyFont="1" applyBorder="1" applyAlignment="1">
      <alignment horizontal="center" vertical="center"/>
    </xf>
    <xf numFmtId="8" fontId="31" fillId="0" borderId="3" xfId="0" applyNumberFormat="1" applyFont="1" applyBorder="1" applyAlignment="1">
      <alignment horizontal="center" vertical="center"/>
    </xf>
    <xf numFmtId="2" fontId="31" fillId="0" borderId="40" xfId="3" applyNumberFormat="1" applyFont="1" applyBorder="1" applyAlignment="1">
      <alignment horizontal="center" vertical="center"/>
    </xf>
    <xf numFmtId="2" fontId="31" fillId="0" borderId="41" xfId="3" applyNumberFormat="1" applyFont="1" applyBorder="1" applyAlignment="1">
      <alignment horizontal="center" vertical="center"/>
    </xf>
    <xf numFmtId="0" fontId="31" fillId="0" borderId="3" xfId="0" applyFont="1" applyBorder="1" applyAlignment="1">
      <alignment horizontal="righ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8" fontId="31" fillId="0" borderId="11" xfId="0" applyNumberFormat="1" applyFont="1" applyBorder="1" applyAlignment="1">
      <alignment horizontal="right" vertical="center"/>
    </xf>
    <xf numFmtId="0" fontId="31" fillId="0" borderId="12" xfId="0" applyFont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/>
    </xf>
    <xf numFmtId="0" fontId="27" fillId="2" borderId="4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justify" vertical="center" wrapText="1"/>
    </xf>
    <xf numFmtId="164" fontId="17" fillId="0" borderId="35" xfId="1" applyFont="1" applyFill="1" applyBorder="1" applyAlignment="1">
      <alignment horizontal="center" vertical="center" wrapText="1"/>
    </xf>
    <xf numFmtId="164" fontId="17" fillId="0" borderId="36" xfId="1" applyFont="1" applyFill="1" applyBorder="1" applyAlignment="1">
      <alignment horizontal="center" vertical="center" wrapText="1"/>
    </xf>
    <xf numFmtId="2" fontId="17" fillId="0" borderId="35" xfId="1" applyNumberFormat="1" applyFont="1" applyFill="1" applyBorder="1" applyAlignment="1">
      <alignment horizontal="center" vertical="center" wrapText="1"/>
    </xf>
    <xf numFmtId="2" fontId="17" fillId="0" borderId="36" xfId="1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3" fillId="0" borderId="0" xfId="4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1" fontId="32" fillId="2" borderId="7" xfId="2" applyNumberFormat="1" applyFont="1" applyFill="1" applyBorder="1" applyAlignment="1">
      <alignment horizontal="center" vertical="center"/>
    </xf>
    <xf numFmtId="1" fontId="32" fillId="2" borderId="3" xfId="2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2" fontId="17" fillId="0" borderId="30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4" fontId="24" fillId="0" borderId="39" xfId="0" applyNumberFormat="1" applyFont="1" applyBorder="1" applyAlignment="1">
      <alignment horizontal="center" vertical="center" wrapText="1"/>
    </xf>
    <xf numFmtId="4" fontId="24" fillId="0" borderId="27" xfId="0" applyNumberFormat="1" applyFont="1" applyBorder="1" applyAlignment="1">
      <alignment horizontal="center" vertical="center" wrapText="1"/>
    </xf>
    <xf numFmtId="4" fontId="24" fillId="0" borderId="39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4" fontId="32" fillId="2" borderId="7" xfId="2" applyFont="1" applyFill="1" applyBorder="1" applyAlignment="1">
      <alignment horizontal="center" vertical="center"/>
    </xf>
    <xf numFmtId="44" fontId="32" fillId="2" borderId="3" xfId="2" applyFont="1" applyFill="1" applyBorder="1" applyAlignment="1">
      <alignment horizontal="center" vertical="center"/>
    </xf>
    <xf numFmtId="2" fontId="35" fillId="0" borderId="7" xfId="0" applyNumberFormat="1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justify" vertical="center" wrapText="1"/>
    </xf>
    <xf numFmtId="0" fontId="22" fillId="4" borderId="14" xfId="0" applyFont="1" applyFill="1" applyBorder="1" applyAlignment="1">
      <alignment horizontal="justify" vertical="center" wrapText="1"/>
    </xf>
    <xf numFmtId="0" fontId="22" fillId="4" borderId="5" xfId="0" applyFont="1" applyFill="1" applyBorder="1" applyAlignment="1">
      <alignment horizontal="justify"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2" fontId="20" fillId="0" borderId="7" xfId="0" applyNumberFormat="1" applyFont="1" applyBorder="1" applyAlignment="1">
      <alignment horizontal="right" vertical="center" wrapText="1"/>
    </xf>
    <xf numFmtId="2" fontId="21" fillId="0" borderId="2" xfId="0" applyNumberFormat="1" applyFont="1" applyBorder="1" applyAlignment="1">
      <alignment horizontal="right" vertical="center" wrapText="1"/>
    </xf>
    <xf numFmtId="2" fontId="20" fillId="0" borderId="2" xfId="0" applyNumberFormat="1" applyFont="1" applyBorder="1" applyAlignment="1">
      <alignment horizontal="right" vertical="center" wrapText="1"/>
    </xf>
    <xf numFmtId="2" fontId="20" fillId="0" borderId="3" xfId="0" applyNumberFormat="1" applyFont="1" applyBorder="1" applyAlignment="1">
      <alignment horizontal="right" vertical="center" wrapText="1"/>
    </xf>
    <xf numFmtId="2" fontId="21" fillId="0" borderId="16" xfId="0" applyNumberFormat="1" applyFont="1" applyBorder="1" applyAlignment="1">
      <alignment horizontal="right" wrapText="1"/>
    </xf>
    <xf numFmtId="2" fontId="21" fillId="0" borderId="12" xfId="0" applyNumberFormat="1" applyFont="1" applyBorder="1" applyAlignment="1">
      <alignment horizontal="right" wrapText="1"/>
    </xf>
    <xf numFmtId="2" fontId="20" fillId="0" borderId="13" xfId="0" applyNumberFormat="1" applyFont="1" applyBorder="1" applyAlignment="1">
      <alignment horizontal="right" vertical="center" wrapText="1"/>
    </xf>
    <xf numFmtId="2" fontId="20" fillId="0" borderId="16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justify" vertical="center" wrapText="1"/>
    </xf>
    <xf numFmtId="0" fontId="15" fillId="0" borderId="15" xfId="0" applyFont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8" fillId="4" borderId="21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2" fontId="15" fillId="0" borderId="7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2" fontId="15" fillId="0" borderId="2" xfId="0" applyNumberFormat="1" applyFont="1" applyBorder="1" applyAlignment="1">
      <alignment horizontal="right" vertical="center" wrapText="1"/>
    </xf>
    <xf numFmtId="2" fontId="15" fillId="0" borderId="3" xfId="0" applyNumberFormat="1" applyFont="1" applyBorder="1" applyAlignment="1">
      <alignment horizontal="right" vertical="center" wrapText="1"/>
    </xf>
    <xf numFmtId="2" fontId="15" fillId="0" borderId="13" xfId="0" applyNumberFormat="1" applyFont="1" applyBorder="1" applyAlignment="1">
      <alignment horizontal="right" vertical="center" wrapText="1"/>
    </xf>
    <xf numFmtId="2" fontId="15" fillId="0" borderId="16" xfId="0" applyNumberFormat="1" applyFont="1" applyBorder="1" applyAlignment="1">
      <alignment horizontal="right" vertical="center" wrapText="1"/>
    </xf>
    <xf numFmtId="0" fontId="8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2" fontId="7" fillId="0" borderId="16" xfId="0" applyNumberFormat="1" applyFont="1" applyBorder="1" applyAlignment="1">
      <alignment horizontal="right" wrapText="1"/>
    </xf>
    <xf numFmtId="2" fontId="7" fillId="0" borderId="12" xfId="0" applyNumberFormat="1" applyFont="1" applyBorder="1" applyAlignment="1">
      <alignment horizontal="right" wrapText="1"/>
    </xf>
    <xf numFmtId="0" fontId="13" fillId="0" borderId="52" xfId="0" applyFont="1" applyBorder="1" applyAlignment="1">
      <alignment vertical="center"/>
    </xf>
    <xf numFmtId="164" fontId="7" fillId="0" borderId="53" xfId="1" applyFont="1" applyBorder="1" applyAlignment="1">
      <alignment horizontal="center"/>
    </xf>
    <xf numFmtId="164" fontId="7" fillId="0" borderId="54" xfId="1" applyFont="1" applyBorder="1" applyAlignment="1">
      <alignment horizontal="center"/>
    </xf>
    <xf numFmtId="164" fontId="9" fillId="0" borderId="56" xfId="1" applyFont="1" applyBorder="1" applyAlignment="1">
      <alignment horizontal="center" vertical="center"/>
    </xf>
    <xf numFmtId="164" fontId="9" fillId="0" borderId="55" xfId="1" applyFont="1" applyBorder="1" applyAlignment="1">
      <alignment horizontal="center" vertical="center"/>
    </xf>
    <xf numFmtId="164" fontId="7" fillId="0" borderId="56" xfId="1" applyFont="1" applyBorder="1" applyAlignment="1">
      <alignment horizontal="center"/>
    </xf>
    <xf numFmtId="164" fontId="7" fillId="0" borderId="57" xfId="1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vertical="center"/>
    </xf>
    <xf numFmtId="4" fontId="32" fillId="0" borderId="0" xfId="1" applyNumberFormat="1" applyFont="1" applyFill="1" applyBorder="1" applyAlignment="1">
      <alignment horizontal="center" vertical="center"/>
    </xf>
    <xf numFmtId="8" fontId="31" fillId="0" borderId="10" xfId="0" applyNumberFormat="1" applyFont="1" applyBorder="1" applyAlignment="1">
      <alignment horizontal="center" vertical="center"/>
    </xf>
    <xf numFmtId="8" fontId="31" fillId="0" borderId="18" xfId="0" applyNumberFormat="1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8" fontId="32" fillId="2" borderId="4" xfId="2" applyNumberFormat="1" applyFont="1" applyFill="1" applyBorder="1" applyAlignment="1">
      <alignment horizontal="center" vertical="center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0033CC"/>
      <color rgb="FF0000CC"/>
      <color rgb="FF0000FF"/>
      <color rgb="FF3399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rviciopas.umh.es/files/2019/04/CALCULO-RC-nuevo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erviciopas.umh.es/files/2019/04/CALCULO-RC-nuevo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erviciopas.umh.es/files/2019/04/CALCULO-RC-nuevo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erviciopas.umh.es/files/2019/04/CALCULO-RC-nuevo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serviciopas.umh.es/files/2019/04/CALCULO-RC-nuevo.xls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serviciopas.umh.es/files/2019/04/CALCULO-RC-nuevo.xls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serviciopas.umh.es/files/2019/04/CALCULO-RC-nuevo.xls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serviciopas.umh.es/files/2019/04/CALCULO-RC-nuevo.xls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zoomScaleNormal="100" workbookViewId="0">
      <selection activeCell="J14" sqref="J14:J15"/>
    </sheetView>
  </sheetViews>
  <sheetFormatPr baseColWidth="10" defaultColWidth="11.5703125" defaultRowHeight="12.75" x14ac:dyDescent="0.2"/>
  <cols>
    <col min="1" max="1" width="15" style="33" customWidth="1"/>
    <col min="2" max="2" width="19.7109375" style="33" customWidth="1"/>
    <col min="3" max="3" width="16.5703125" style="33" hidden="1" customWidth="1"/>
    <col min="4" max="4" width="18.28515625" style="130" customWidth="1"/>
    <col min="5" max="5" width="18.28515625" style="8" customWidth="1"/>
    <col min="6" max="6" width="24.85546875" style="8" customWidth="1"/>
    <col min="7" max="7" width="18.42578125" style="8" customWidth="1"/>
    <col min="8" max="8" width="11.5703125" style="8"/>
    <col min="9" max="9" width="19.7109375" style="37" customWidth="1"/>
    <col min="10" max="10" width="19.42578125" style="19" customWidth="1"/>
    <col min="11" max="11" width="18.7109375" style="8" customWidth="1"/>
    <col min="12" max="12" width="17.7109375" style="129" customWidth="1"/>
    <col min="13" max="13" width="14.140625" style="8" customWidth="1"/>
    <col min="14" max="16384" width="11.5703125" style="8"/>
  </cols>
  <sheetData>
    <row r="1" spans="1:13" ht="51.75" customHeight="1" x14ac:dyDescent="0.2">
      <c r="A1" s="233" t="s">
        <v>52</v>
      </c>
      <c r="B1" s="234"/>
      <c r="C1" s="234"/>
      <c r="D1" s="234"/>
      <c r="E1" s="234"/>
      <c r="F1" s="234"/>
      <c r="G1" s="234"/>
    </row>
    <row r="2" spans="1:13" s="38" customFormat="1" ht="28.5" customHeight="1" x14ac:dyDescent="0.2">
      <c r="A2" s="47"/>
      <c r="B2" s="238" t="s">
        <v>47</v>
      </c>
      <c r="C2" s="238"/>
      <c r="D2" s="238"/>
      <c r="E2" s="45"/>
      <c r="F2" s="238" t="s">
        <v>48</v>
      </c>
      <c r="G2" s="239"/>
      <c r="I2" s="235" t="s">
        <v>58</v>
      </c>
      <c r="J2" s="235"/>
      <c r="K2" s="235"/>
      <c r="L2" s="235" t="s">
        <v>62</v>
      </c>
      <c r="M2" s="235"/>
    </row>
    <row r="3" spans="1:13" s="27" customFormat="1" ht="38.25" x14ac:dyDescent="0.2">
      <c r="A3" s="46" t="s">
        <v>45</v>
      </c>
      <c r="B3" s="43" t="s">
        <v>46</v>
      </c>
      <c r="C3" s="43" t="s">
        <v>59</v>
      </c>
      <c r="D3" s="44" t="s">
        <v>50</v>
      </c>
      <c r="E3" s="43" t="s">
        <v>45</v>
      </c>
      <c r="F3" s="43" t="s">
        <v>46</v>
      </c>
      <c r="G3" s="44" t="s">
        <v>51</v>
      </c>
      <c r="I3" s="141" t="s">
        <v>57</v>
      </c>
      <c r="J3" s="141" t="s">
        <v>68</v>
      </c>
      <c r="K3" s="141" t="s">
        <v>69</v>
      </c>
      <c r="L3" s="142" t="s">
        <v>60</v>
      </c>
      <c r="M3" s="141" t="s">
        <v>61</v>
      </c>
    </row>
    <row r="4" spans="1:13" ht="16.5" customHeight="1" x14ac:dyDescent="0.2">
      <c r="A4" s="40">
        <v>40</v>
      </c>
      <c r="B4" s="48">
        <f>PARAMETROS!B2</f>
        <v>2533.5899798611113</v>
      </c>
      <c r="C4" s="132"/>
      <c r="D4" s="148"/>
      <c r="E4" s="40">
        <v>40</v>
      </c>
      <c r="F4" s="48">
        <f>PARAMETROS!C2</f>
        <v>3293.6669738194446</v>
      </c>
      <c r="G4" s="48">
        <f>IF(F4&gt;=$K$4,$K$4*$K$18%,F4*$K$18%)</f>
        <v>1073.7354334651391</v>
      </c>
      <c r="I4" s="236">
        <v>1</v>
      </c>
      <c r="J4" s="237">
        <v>1466.4</v>
      </c>
      <c r="K4" s="237">
        <v>4070.1</v>
      </c>
      <c r="L4" s="240">
        <v>1050</v>
      </c>
      <c r="M4" s="240">
        <v>4070.1</v>
      </c>
    </row>
    <row r="5" spans="1:13" ht="16.5" customHeight="1" x14ac:dyDescent="0.2">
      <c r="A5" s="41">
        <v>39</v>
      </c>
      <c r="B5" s="49">
        <f t="shared" ref="B5:B41" si="0">PRODUCT(B$4,A5)/A$4</f>
        <v>2470.2502303645833</v>
      </c>
      <c r="C5" s="39">
        <f>((A5/$A$4*7.5*5)/7)*30*$D$44</f>
        <v>1383.6294642857142</v>
      </c>
      <c r="D5" s="148">
        <f>IF(B5&lt;C5,C5*$K$18%,B5*$K$18%)</f>
        <v>805.30157509885419</v>
      </c>
      <c r="E5" s="41">
        <v>39</v>
      </c>
      <c r="F5" s="49">
        <f t="shared" ref="F5:F41" si="1">PRODUCT(F$4,E5)/E$4</f>
        <v>3211.3252994739587</v>
      </c>
      <c r="G5" s="49">
        <f t="shared" ref="G5:G41" si="2">IF(F5&gt;=$K$4,$K$4*$K$18%,F5*$K$18%)</f>
        <v>1046.8920476285107</v>
      </c>
      <c r="I5" s="236"/>
      <c r="J5" s="237"/>
      <c r="K5" s="237"/>
      <c r="L5" s="240"/>
      <c r="M5" s="240"/>
    </row>
    <row r="6" spans="1:13" ht="16.5" customHeight="1" x14ac:dyDescent="0.2">
      <c r="A6" s="41">
        <v>36</v>
      </c>
      <c r="B6" s="49">
        <f t="shared" si="0"/>
        <v>2280.230981875</v>
      </c>
      <c r="C6" s="39">
        <f t="shared" ref="C6:C41" si="3">((A6/A$4*7.5*5)/7)*30*$D$44</f>
        <v>1277.1964285714284</v>
      </c>
      <c r="D6" s="148">
        <f t="shared" ref="D6:D41" si="4">IF(B6&lt;C6,C6*$K$18%,B6*$K$18%)</f>
        <v>743.35530009125</v>
      </c>
      <c r="E6" s="41">
        <v>36</v>
      </c>
      <c r="F6" s="49">
        <f t="shared" si="1"/>
        <v>2964.3002764375001</v>
      </c>
      <c r="G6" s="49">
        <f t="shared" si="2"/>
        <v>966.36189011862507</v>
      </c>
      <c r="J6" s="8"/>
    </row>
    <row r="7" spans="1:13" ht="16.5" customHeight="1" thickBot="1" x14ac:dyDescent="0.25">
      <c r="A7" s="41">
        <v>35</v>
      </c>
      <c r="B7" s="49">
        <f t="shared" si="0"/>
        <v>2216.8912323784725</v>
      </c>
      <c r="C7" s="39">
        <f t="shared" si="3"/>
        <v>1241.71875</v>
      </c>
      <c r="D7" s="148">
        <f t="shared" si="4"/>
        <v>722.70654175538209</v>
      </c>
      <c r="E7" s="41">
        <v>35</v>
      </c>
      <c r="F7" s="49">
        <f t="shared" si="1"/>
        <v>2881.9586020920142</v>
      </c>
      <c r="G7" s="49">
        <f t="shared" si="2"/>
        <v>939.51850428199668</v>
      </c>
    </row>
    <row r="8" spans="1:13" ht="16.5" customHeight="1" x14ac:dyDescent="0.2">
      <c r="A8" s="41">
        <v>34</v>
      </c>
      <c r="B8" s="49">
        <f t="shared" si="0"/>
        <v>2153.5514828819446</v>
      </c>
      <c r="C8" s="39">
        <f t="shared" si="3"/>
        <v>1206.2410714285716</v>
      </c>
      <c r="D8" s="148">
        <f t="shared" si="4"/>
        <v>702.05778341951395</v>
      </c>
      <c r="E8" s="41">
        <v>34</v>
      </c>
      <c r="F8" s="49">
        <f t="shared" si="1"/>
        <v>2799.6169277465278</v>
      </c>
      <c r="G8" s="49">
        <f t="shared" si="2"/>
        <v>912.67511844536807</v>
      </c>
      <c r="I8" s="211" t="s">
        <v>72</v>
      </c>
      <c r="J8" s="211"/>
      <c r="K8" s="212"/>
      <c r="L8" s="215">
        <v>2533.59</v>
      </c>
    </row>
    <row r="9" spans="1:13" ht="16.5" customHeight="1" thickBot="1" x14ac:dyDescent="0.25">
      <c r="A9" s="41">
        <v>33</v>
      </c>
      <c r="B9" s="49">
        <f t="shared" si="0"/>
        <v>2090.2117333854167</v>
      </c>
      <c r="C9" s="39">
        <f t="shared" si="3"/>
        <v>1170.7633928571427</v>
      </c>
      <c r="D9" s="148">
        <f t="shared" si="4"/>
        <v>681.40902508364582</v>
      </c>
      <c r="E9" s="41">
        <v>33</v>
      </c>
      <c r="F9" s="49">
        <f t="shared" si="1"/>
        <v>2717.2752534010419</v>
      </c>
      <c r="G9" s="49">
        <f t="shared" si="2"/>
        <v>885.83173260873969</v>
      </c>
      <c r="I9" s="211"/>
      <c r="J9" s="211"/>
      <c r="K9" s="212"/>
      <c r="L9" s="216"/>
    </row>
    <row r="10" spans="1:13" ht="16.5" customHeight="1" thickBot="1" x14ac:dyDescent="0.25">
      <c r="A10" s="41">
        <v>32</v>
      </c>
      <c r="B10" s="49">
        <f t="shared" si="0"/>
        <v>2026.871983888889</v>
      </c>
      <c r="C10" s="39">
        <f t="shared" si="3"/>
        <v>1135.2857142857142</v>
      </c>
      <c r="D10" s="148">
        <f t="shared" si="4"/>
        <v>660.76026674777779</v>
      </c>
      <c r="E10" s="41">
        <v>32</v>
      </c>
      <c r="F10" s="49">
        <f t="shared" si="1"/>
        <v>2634.9335790555556</v>
      </c>
      <c r="G10" s="49">
        <f t="shared" si="2"/>
        <v>858.98834677211119</v>
      </c>
      <c r="I10" s="137"/>
      <c r="J10" s="138"/>
      <c r="K10" s="139"/>
      <c r="L10" s="140"/>
    </row>
    <row r="11" spans="1:13" ht="16.5" customHeight="1" x14ac:dyDescent="0.2">
      <c r="A11" s="41">
        <v>31</v>
      </c>
      <c r="B11" s="49">
        <f t="shared" si="0"/>
        <v>1963.5322343923613</v>
      </c>
      <c r="C11" s="39">
        <f t="shared" si="3"/>
        <v>1099.8080357142858</v>
      </c>
      <c r="D11" s="148">
        <f t="shared" si="4"/>
        <v>640.11150841190977</v>
      </c>
      <c r="E11" s="41">
        <v>31</v>
      </c>
      <c r="F11" s="49">
        <f t="shared" si="1"/>
        <v>2552.5919047100697</v>
      </c>
      <c r="G11" s="49">
        <f t="shared" si="2"/>
        <v>832.1449609354828</v>
      </c>
      <c r="I11" s="217" t="s">
        <v>70</v>
      </c>
      <c r="J11" s="218"/>
      <c r="K11" s="218"/>
      <c r="L11" s="219"/>
    </row>
    <row r="12" spans="1:13" ht="16.5" customHeight="1" thickBot="1" x14ac:dyDescent="0.25">
      <c r="A12" s="41">
        <v>30</v>
      </c>
      <c r="B12" s="49">
        <f t="shared" si="0"/>
        <v>1900.1924848958333</v>
      </c>
      <c r="C12" s="39">
        <f t="shared" si="3"/>
        <v>1064.3303571428571</v>
      </c>
      <c r="D12" s="148">
        <f t="shared" si="4"/>
        <v>619.46275007604174</v>
      </c>
      <c r="E12" s="41">
        <v>30</v>
      </c>
      <c r="F12" s="49">
        <f t="shared" si="1"/>
        <v>2470.2502303645833</v>
      </c>
      <c r="G12" s="49">
        <f t="shared" si="2"/>
        <v>805.30157509885419</v>
      </c>
      <c r="I12" s="220"/>
      <c r="J12" s="221"/>
      <c r="K12" s="221"/>
      <c r="L12" s="222"/>
    </row>
    <row r="13" spans="1:13" ht="16.5" customHeight="1" thickBot="1" x14ac:dyDescent="0.25">
      <c r="A13" s="41">
        <v>29</v>
      </c>
      <c r="B13" s="49">
        <f t="shared" si="0"/>
        <v>1836.8527353993056</v>
      </c>
      <c r="C13" s="39">
        <f t="shared" si="3"/>
        <v>1028.8526785714287</v>
      </c>
      <c r="D13" s="148">
        <f t="shared" si="4"/>
        <v>598.81399174017361</v>
      </c>
      <c r="E13" s="41">
        <v>29</v>
      </c>
      <c r="F13" s="49">
        <f t="shared" si="1"/>
        <v>2387.908556019097</v>
      </c>
      <c r="G13" s="49">
        <f t="shared" si="2"/>
        <v>778.45818926222569</v>
      </c>
      <c r="I13" s="134"/>
      <c r="J13" s="135" t="s">
        <v>63</v>
      </c>
      <c r="K13" s="152" t="s">
        <v>64</v>
      </c>
      <c r="L13" s="136" t="s">
        <v>65</v>
      </c>
    </row>
    <row r="14" spans="1:13" ht="16.5" customHeight="1" x14ac:dyDescent="0.2">
      <c r="A14" s="41">
        <v>28</v>
      </c>
      <c r="B14" s="49">
        <f t="shared" si="0"/>
        <v>1773.5129859027779</v>
      </c>
      <c r="C14" s="39">
        <f t="shared" si="3"/>
        <v>993.375</v>
      </c>
      <c r="D14" s="148">
        <f t="shared" si="4"/>
        <v>578.16523340430558</v>
      </c>
      <c r="E14" s="41">
        <v>28</v>
      </c>
      <c r="F14" s="49">
        <f t="shared" si="1"/>
        <v>2305.5668816736115</v>
      </c>
      <c r="G14" s="49">
        <f t="shared" si="2"/>
        <v>751.61480342559742</v>
      </c>
      <c r="I14" s="243" t="s">
        <v>66</v>
      </c>
      <c r="J14" s="223">
        <f>IF(L8&gt;=J4,L8,J4)</f>
        <v>2533.59</v>
      </c>
      <c r="K14" s="225">
        <v>23.6</v>
      </c>
      <c r="L14" s="230">
        <f>J14*K14%</f>
        <v>597.9272400000001</v>
      </c>
    </row>
    <row r="15" spans="1:13" ht="16.5" customHeight="1" thickBot="1" x14ac:dyDescent="0.25">
      <c r="A15" s="41">
        <v>27</v>
      </c>
      <c r="B15" s="49">
        <f t="shared" si="0"/>
        <v>1710.17323640625</v>
      </c>
      <c r="C15" s="39">
        <f t="shared" si="3"/>
        <v>957.89732142857133</v>
      </c>
      <c r="D15" s="148">
        <f t="shared" si="4"/>
        <v>557.51647506843756</v>
      </c>
      <c r="E15" s="41">
        <v>27</v>
      </c>
      <c r="F15" s="49">
        <f t="shared" si="1"/>
        <v>2223.2252073281252</v>
      </c>
      <c r="G15" s="49">
        <f t="shared" si="2"/>
        <v>724.7714175889688</v>
      </c>
      <c r="I15" s="244"/>
      <c r="J15" s="224"/>
      <c r="K15" s="226"/>
      <c r="L15" s="231"/>
    </row>
    <row r="16" spans="1:13" ht="16.5" customHeight="1" x14ac:dyDescent="0.2">
      <c r="A16" s="41">
        <v>26</v>
      </c>
      <c r="B16" s="49">
        <f t="shared" si="0"/>
        <v>1646.8334869097223</v>
      </c>
      <c r="C16" s="39">
        <f t="shared" si="3"/>
        <v>922.41964285714289</v>
      </c>
      <c r="D16" s="148">
        <f t="shared" si="4"/>
        <v>536.86771673256953</v>
      </c>
      <c r="E16" s="41">
        <v>26</v>
      </c>
      <c r="F16" s="49">
        <f t="shared" si="1"/>
        <v>2140.8835329826388</v>
      </c>
      <c r="G16" s="49">
        <f t="shared" si="2"/>
        <v>697.9280317523403</v>
      </c>
      <c r="I16" s="228" t="s">
        <v>67</v>
      </c>
      <c r="J16" s="223">
        <f>IF(L8&gt;=L4,L8,L4)</f>
        <v>2533.59</v>
      </c>
      <c r="K16" s="225">
        <v>9</v>
      </c>
      <c r="L16" s="209">
        <f>J16*K16%</f>
        <v>228.0231</v>
      </c>
    </row>
    <row r="17" spans="1:14" ht="16.5" customHeight="1" thickBot="1" x14ac:dyDescent="0.25">
      <c r="A17" s="41">
        <v>25</v>
      </c>
      <c r="B17" s="49">
        <f t="shared" si="0"/>
        <v>1583.4937374131946</v>
      </c>
      <c r="C17" s="39">
        <f t="shared" si="3"/>
        <v>886.94196428571422</v>
      </c>
      <c r="D17" s="148">
        <f t="shared" si="4"/>
        <v>516.21895839670151</v>
      </c>
      <c r="E17" s="41">
        <v>25</v>
      </c>
      <c r="F17" s="49">
        <f t="shared" si="1"/>
        <v>2058.5418586371529</v>
      </c>
      <c r="G17" s="49">
        <f t="shared" si="2"/>
        <v>671.08464591571192</v>
      </c>
      <c r="I17" s="229"/>
      <c r="J17" s="224"/>
      <c r="K17" s="226">
        <v>0.2</v>
      </c>
      <c r="L17" s="227"/>
    </row>
    <row r="18" spans="1:14" ht="16.5" customHeight="1" thickBot="1" x14ac:dyDescent="0.25">
      <c r="A18" s="41">
        <v>24</v>
      </c>
      <c r="B18" s="49">
        <f t="shared" si="0"/>
        <v>1520.1539879166667</v>
      </c>
      <c r="C18" s="39">
        <f t="shared" si="3"/>
        <v>851.46428571428578</v>
      </c>
      <c r="D18" s="148">
        <f t="shared" si="4"/>
        <v>495.57020006083337</v>
      </c>
      <c r="E18" s="41">
        <v>24</v>
      </c>
      <c r="F18" s="49">
        <f t="shared" si="1"/>
        <v>1976.2001842916666</v>
      </c>
      <c r="G18" s="49">
        <f t="shared" si="2"/>
        <v>644.2412600790833</v>
      </c>
      <c r="I18" s="241" t="s">
        <v>71</v>
      </c>
      <c r="J18" s="242"/>
      <c r="K18" s="153">
        <f>(K14+K16)</f>
        <v>32.6</v>
      </c>
      <c r="L18" s="147">
        <f>SUM(L14:L17)</f>
        <v>825.9503400000001</v>
      </c>
    </row>
    <row r="19" spans="1:14" ht="16.5" customHeight="1" x14ac:dyDescent="0.2">
      <c r="A19" s="41">
        <v>23</v>
      </c>
      <c r="B19" s="49">
        <f t="shared" si="0"/>
        <v>1456.814238420139</v>
      </c>
      <c r="C19" s="39">
        <f t="shared" si="3"/>
        <v>815.98660714285711</v>
      </c>
      <c r="D19" s="148">
        <f t="shared" si="4"/>
        <v>474.92144172496529</v>
      </c>
      <c r="E19" s="41">
        <v>23</v>
      </c>
      <c r="F19" s="49">
        <f t="shared" si="1"/>
        <v>1893.8585099461804</v>
      </c>
      <c r="G19" s="49">
        <f t="shared" si="2"/>
        <v>617.3978742424548</v>
      </c>
      <c r="I19" s="143"/>
      <c r="J19" s="144"/>
      <c r="K19" s="145"/>
      <c r="L19" s="146"/>
    </row>
    <row r="20" spans="1:14" ht="16.5" customHeight="1" x14ac:dyDescent="0.2">
      <c r="A20" s="41">
        <v>22</v>
      </c>
      <c r="B20" s="49">
        <f t="shared" si="0"/>
        <v>1393.4744889236113</v>
      </c>
      <c r="C20" s="39">
        <f t="shared" si="3"/>
        <v>780.50892857142867</v>
      </c>
      <c r="D20" s="148">
        <f t="shared" si="4"/>
        <v>454.27268338909727</v>
      </c>
      <c r="E20" s="41">
        <v>22</v>
      </c>
      <c r="F20" s="49">
        <f t="shared" si="1"/>
        <v>1811.5168356006948</v>
      </c>
      <c r="G20" s="49">
        <f t="shared" si="2"/>
        <v>590.55448840582653</v>
      </c>
      <c r="I20" s="232" t="s">
        <v>88</v>
      </c>
      <c r="J20" s="232"/>
      <c r="K20" s="232"/>
      <c r="L20" s="232"/>
      <c r="M20" s="232"/>
      <c r="N20" s="170"/>
    </row>
    <row r="21" spans="1:14" ht="16.5" customHeight="1" x14ac:dyDescent="0.2">
      <c r="A21" s="41">
        <v>21</v>
      </c>
      <c r="B21" s="49">
        <f t="shared" si="0"/>
        <v>1330.1347394270833</v>
      </c>
      <c r="C21" s="39">
        <f t="shared" si="3"/>
        <v>745.03125</v>
      </c>
      <c r="D21" s="148">
        <f t="shared" si="4"/>
        <v>433.62392505322919</v>
      </c>
      <c r="E21" s="41">
        <v>21</v>
      </c>
      <c r="F21" s="49">
        <f t="shared" si="1"/>
        <v>1729.1751612552084</v>
      </c>
      <c r="G21" s="49">
        <f t="shared" si="2"/>
        <v>563.71110256919792</v>
      </c>
      <c r="I21" s="232"/>
      <c r="J21" s="232"/>
      <c r="K21" s="232"/>
      <c r="L21" s="232"/>
      <c r="M21" s="232"/>
      <c r="N21" s="170"/>
    </row>
    <row r="22" spans="1:14" ht="16.5" customHeight="1" thickBot="1" x14ac:dyDescent="0.25">
      <c r="A22" s="41">
        <v>20</v>
      </c>
      <c r="B22" s="49">
        <f t="shared" si="0"/>
        <v>1266.7949899305556</v>
      </c>
      <c r="C22" s="39">
        <f t="shared" si="3"/>
        <v>709.55357142857133</v>
      </c>
      <c r="D22" s="148">
        <f t="shared" si="4"/>
        <v>412.97516671736116</v>
      </c>
      <c r="E22" s="41">
        <v>20</v>
      </c>
      <c r="F22" s="49">
        <f t="shared" si="1"/>
        <v>1646.8334869097223</v>
      </c>
      <c r="G22" s="49">
        <f t="shared" si="2"/>
        <v>536.86771673256953</v>
      </c>
    </row>
    <row r="23" spans="1:14" ht="16.5" customHeight="1" x14ac:dyDescent="0.2">
      <c r="A23" s="41">
        <v>19</v>
      </c>
      <c r="B23" s="49">
        <f t="shared" si="0"/>
        <v>1203.4552404340279</v>
      </c>
      <c r="C23" s="39">
        <f t="shared" si="3"/>
        <v>674.07589285714289</v>
      </c>
      <c r="D23" s="148">
        <f t="shared" si="4"/>
        <v>392.32640838149314</v>
      </c>
      <c r="E23" s="41">
        <v>19</v>
      </c>
      <c r="F23" s="49">
        <f t="shared" si="1"/>
        <v>1564.4918125642362</v>
      </c>
      <c r="G23" s="49">
        <f t="shared" si="2"/>
        <v>510.02433089594103</v>
      </c>
      <c r="I23" s="211" t="s">
        <v>73</v>
      </c>
      <c r="J23" s="211"/>
      <c r="K23" s="212"/>
      <c r="L23" s="213">
        <v>0</v>
      </c>
    </row>
    <row r="24" spans="1:14" ht="16.5" customHeight="1" thickBot="1" x14ac:dyDescent="0.25">
      <c r="A24" s="41">
        <v>18</v>
      </c>
      <c r="B24" s="49">
        <f t="shared" si="0"/>
        <v>1140.1154909375</v>
      </c>
      <c r="C24" s="39">
        <f t="shared" si="3"/>
        <v>638.59821428571422</v>
      </c>
      <c r="D24" s="148">
        <f t="shared" si="4"/>
        <v>371.677650045625</v>
      </c>
      <c r="E24" s="41">
        <v>18</v>
      </c>
      <c r="F24" s="49">
        <f t="shared" si="1"/>
        <v>1482.15013821875</v>
      </c>
      <c r="G24" s="49">
        <f t="shared" si="2"/>
        <v>483.18094505931253</v>
      </c>
      <c r="I24" s="211"/>
      <c r="J24" s="211"/>
      <c r="K24" s="212"/>
      <c r="L24" s="214"/>
    </row>
    <row r="25" spans="1:14" ht="16.5" customHeight="1" thickBot="1" x14ac:dyDescent="0.25">
      <c r="A25" s="41">
        <v>17</v>
      </c>
      <c r="B25" s="49">
        <f t="shared" si="0"/>
        <v>1076.7757414409723</v>
      </c>
      <c r="C25" s="39">
        <f t="shared" si="3"/>
        <v>603.12053571428578</v>
      </c>
      <c r="D25" s="148">
        <f t="shared" si="4"/>
        <v>351.02889170975698</v>
      </c>
      <c r="E25" s="41">
        <v>17</v>
      </c>
      <c r="F25" s="49">
        <f t="shared" si="1"/>
        <v>1399.8084638732639</v>
      </c>
      <c r="G25" s="49">
        <f t="shared" si="2"/>
        <v>456.33755922268404</v>
      </c>
    </row>
    <row r="26" spans="1:14" ht="16.5" customHeight="1" x14ac:dyDescent="0.2">
      <c r="A26" s="41">
        <v>16</v>
      </c>
      <c r="B26" s="49">
        <f t="shared" si="0"/>
        <v>1013.4359919444445</v>
      </c>
      <c r="C26" s="39">
        <f t="shared" si="3"/>
        <v>567.64285714285711</v>
      </c>
      <c r="D26" s="148">
        <f t="shared" si="4"/>
        <v>330.3801333738889</v>
      </c>
      <c r="E26" s="41">
        <v>16</v>
      </c>
      <c r="F26" s="49">
        <f t="shared" si="1"/>
        <v>1317.4667895277778</v>
      </c>
      <c r="G26" s="49">
        <f t="shared" si="2"/>
        <v>429.49417338605559</v>
      </c>
      <c r="I26" s="211" t="s">
        <v>78</v>
      </c>
      <c r="J26" s="211"/>
      <c r="K26" s="212"/>
      <c r="L26" s="215">
        <v>0</v>
      </c>
    </row>
    <row r="27" spans="1:14" ht="16.5" customHeight="1" thickBot="1" x14ac:dyDescent="0.25">
      <c r="A27" s="41">
        <v>15</v>
      </c>
      <c r="B27" s="49">
        <f t="shared" si="0"/>
        <v>950.09624244791667</v>
      </c>
      <c r="C27" s="39">
        <f t="shared" si="3"/>
        <v>532.16517857142856</v>
      </c>
      <c r="D27" s="148">
        <f t="shared" si="4"/>
        <v>309.73137503802087</v>
      </c>
      <c r="E27" s="41">
        <v>15</v>
      </c>
      <c r="F27" s="49">
        <f t="shared" si="1"/>
        <v>1235.1251151822917</v>
      </c>
      <c r="G27" s="49">
        <f t="shared" si="2"/>
        <v>402.65078754942709</v>
      </c>
      <c r="I27" s="211"/>
      <c r="J27" s="211"/>
      <c r="K27" s="212"/>
      <c r="L27" s="216"/>
    </row>
    <row r="28" spans="1:14" ht="16.5" customHeight="1" thickBot="1" x14ac:dyDescent="0.25">
      <c r="A28" s="41">
        <v>14</v>
      </c>
      <c r="B28" s="49">
        <f t="shared" si="0"/>
        <v>886.75649295138896</v>
      </c>
      <c r="C28" s="39">
        <f t="shared" si="3"/>
        <v>496.6875</v>
      </c>
      <c r="D28" s="148">
        <f t="shared" si="4"/>
        <v>289.08261670215279</v>
      </c>
      <c r="E28" s="41">
        <v>14</v>
      </c>
      <c r="F28" s="49">
        <f t="shared" si="1"/>
        <v>1152.7834408368058</v>
      </c>
      <c r="G28" s="49">
        <f t="shared" si="2"/>
        <v>375.80740171279871</v>
      </c>
    </row>
    <row r="29" spans="1:14" ht="16.5" customHeight="1" x14ac:dyDescent="0.2">
      <c r="A29" s="41">
        <v>13</v>
      </c>
      <c r="B29" s="49">
        <f t="shared" si="0"/>
        <v>823.41674345486115</v>
      </c>
      <c r="C29" s="39">
        <f t="shared" si="3"/>
        <v>461.20982142857144</v>
      </c>
      <c r="D29" s="148">
        <f t="shared" si="4"/>
        <v>268.43385836628477</v>
      </c>
      <c r="E29" s="41">
        <v>13</v>
      </c>
      <c r="F29" s="49">
        <f t="shared" si="1"/>
        <v>1070.4417664913194</v>
      </c>
      <c r="G29" s="49">
        <f t="shared" si="2"/>
        <v>348.96401587617015</v>
      </c>
      <c r="I29" s="217" t="s">
        <v>74</v>
      </c>
      <c r="J29" s="218"/>
      <c r="K29" s="218"/>
      <c r="L29" s="219"/>
    </row>
    <row r="30" spans="1:14" ht="16.5" customHeight="1" thickBot="1" x14ac:dyDescent="0.25">
      <c r="A30" s="41">
        <v>12</v>
      </c>
      <c r="B30" s="49">
        <f t="shared" si="0"/>
        <v>760.07699395833333</v>
      </c>
      <c r="C30" s="39">
        <f t="shared" si="3"/>
        <v>425.73214285714289</v>
      </c>
      <c r="D30" s="148">
        <f t="shared" si="4"/>
        <v>247.78510003041669</v>
      </c>
      <c r="E30" s="41">
        <v>12</v>
      </c>
      <c r="F30" s="49">
        <f t="shared" si="1"/>
        <v>988.10009214583329</v>
      </c>
      <c r="G30" s="49">
        <f t="shared" si="2"/>
        <v>322.12063003954165</v>
      </c>
      <c r="I30" s="220"/>
      <c r="J30" s="221"/>
      <c r="K30" s="221"/>
      <c r="L30" s="222"/>
    </row>
    <row r="31" spans="1:14" ht="16.5" customHeight="1" thickBot="1" x14ac:dyDescent="0.25">
      <c r="A31" s="41">
        <v>11</v>
      </c>
      <c r="B31" s="49">
        <f t="shared" si="0"/>
        <v>696.73724446180563</v>
      </c>
      <c r="C31" s="39">
        <f t="shared" si="3"/>
        <v>390.25446428571433</v>
      </c>
      <c r="D31" s="148">
        <f t="shared" si="4"/>
        <v>227.13634169454863</v>
      </c>
      <c r="E31" s="41">
        <v>11</v>
      </c>
      <c r="F31" s="49">
        <f t="shared" si="1"/>
        <v>905.75841780034739</v>
      </c>
      <c r="G31" s="49">
        <f t="shared" si="2"/>
        <v>295.27724420291327</v>
      </c>
      <c r="I31" s="156" t="s">
        <v>79</v>
      </c>
      <c r="J31" s="154" t="s">
        <v>63</v>
      </c>
      <c r="K31" s="152" t="s">
        <v>80</v>
      </c>
      <c r="L31" s="136" t="s">
        <v>65</v>
      </c>
    </row>
    <row r="32" spans="1:14" ht="16.5" customHeight="1" x14ac:dyDescent="0.2">
      <c r="A32" s="41">
        <v>10</v>
      </c>
      <c r="B32" s="49">
        <f t="shared" si="0"/>
        <v>633.39749496527782</v>
      </c>
      <c r="C32" s="39">
        <f t="shared" si="3"/>
        <v>354.77678571428567</v>
      </c>
      <c r="D32" s="148">
        <f t="shared" si="4"/>
        <v>206.48758335868058</v>
      </c>
      <c r="E32" s="41">
        <v>10</v>
      </c>
      <c r="F32" s="49">
        <f t="shared" si="1"/>
        <v>823.41674345486115</v>
      </c>
      <c r="G32" s="49">
        <f t="shared" si="2"/>
        <v>268.43385836628477</v>
      </c>
      <c r="I32" s="203">
        <f>((L23/40*7.5*5)/7)*30*$D$44</f>
        <v>0</v>
      </c>
      <c r="J32" s="205">
        <f>IF(L26&lt;I32,I32,L26)</f>
        <v>0</v>
      </c>
      <c r="K32" s="207">
        <v>32.6</v>
      </c>
      <c r="L32" s="209">
        <f>J32*K32%</f>
        <v>0</v>
      </c>
    </row>
    <row r="33" spans="1:14" ht="16.5" customHeight="1" thickBot="1" x14ac:dyDescent="0.25">
      <c r="A33" s="41">
        <v>9</v>
      </c>
      <c r="B33" s="49">
        <f t="shared" si="0"/>
        <v>570.05774546875</v>
      </c>
      <c r="C33" s="39">
        <f t="shared" si="3"/>
        <v>319.29910714285711</v>
      </c>
      <c r="D33" s="148">
        <f t="shared" si="4"/>
        <v>185.8388250228125</v>
      </c>
      <c r="E33" s="41">
        <v>9</v>
      </c>
      <c r="F33" s="49">
        <f t="shared" si="1"/>
        <v>741.07506910937502</v>
      </c>
      <c r="G33" s="49">
        <f t="shared" si="2"/>
        <v>241.59047252965627</v>
      </c>
      <c r="I33" s="204"/>
      <c r="J33" s="206"/>
      <c r="K33" s="208"/>
      <c r="L33" s="210"/>
    </row>
    <row r="34" spans="1:14" ht="16.5" customHeight="1" thickBot="1" x14ac:dyDescent="0.25">
      <c r="A34" s="41">
        <v>8</v>
      </c>
      <c r="B34" s="49">
        <f t="shared" si="0"/>
        <v>506.71799597222224</v>
      </c>
      <c r="C34" s="39">
        <f t="shared" si="3"/>
        <v>283.82142857142856</v>
      </c>
      <c r="D34" s="148">
        <f t="shared" si="4"/>
        <v>165.19006668694445</v>
      </c>
      <c r="E34" s="41">
        <v>8</v>
      </c>
      <c r="F34" s="49">
        <f t="shared" si="1"/>
        <v>658.7333947638889</v>
      </c>
      <c r="G34" s="49">
        <f t="shared" si="2"/>
        <v>214.7470866930278</v>
      </c>
      <c r="I34" s="198" t="s">
        <v>75</v>
      </c>
      <c r="J34" s="199"/>
      <c r="K34" s="200"/>
      <c r="L34" s="147">
        <f>SUM(L32)</f>
        <v>0</v>
      </c>
    </row>
    <row r="35" spans="1:14" ht="16.5" customHeight="1" x14ac:dyDescent="0.2">
      <c r="A35" s="41">
        <v>7</v>
      </c>
      <c r="B35" s="49">
        <f t="shared" si="0"/>
        <v>443.37824647569448</v>
      </c>
      <c r="C35" s="39">
        <f t="shared" si="3"/>
        <v>248.34375</v>
      </c>
      <c r="D35" s="148">
        <f t="shared" si="4"/>
        <v>144.5413083510764</v>
      </c>
      <c r="E35" s="41">
        <v>7</v>
      </c>
      <c r="F35" s="49">
        <f t="shared" si="1"/>
        <v>576.39172041840288</v>
      </c>
      <c r="G35" s="49">
        <f t="shared" si="2"/>
        <v>187.90370085639935</v>
      </c>
      <c r="N35" s="155"/>
    </row>
    <row r="36" spans="1:14" ht="16.5" customHeight="1" x14ac:dyDescent="0.2">
      <c r="A36" s="41">
        <v>6</v>
      </c>
      <c r="B36" s="49">
        <f t="shared" si="0"/>
        <v>380.03849697916667</v>
      </c>
      <c r="C36" s="39">
        <f t="shared" si="3"/>
        <v>212.86607142857144</v>
      </c>
      <c r="D36" s="148">
        <f t="shared" si="4"/>
        <v>123.89255001520834</v>
      </c>
      <c r="E36" s="41">
        <v>6</v>
      </c>
      <c r="F36" s="49">
        <f t="shared" si="1"/>
        <v>494.05004607291664</v>
      </c>
      <c r="G36" s="49">
        <f t="shared" si="2"/>
        <v>161.06031501977083</v>
      </c>
      <c r="I36" s="201" t="s">
        <v>77</v>
      </c>
      <c r="J36" s="201"/>
      <c r="K36" s="201"/>
      <c r="L36" s="201"/>
      <c r="M36" s="202" t="s">
        <v>76</v>
      </c>
      <c r="N36" s="155"/>
    </row>
    <row r="37" spans="1:14" ht="16.5" customHeight="1" x14ac:dyDescent="0.2">
      <c r="A37" s="41">
        <v>5</v>
      </c>
      <c r="B37" s="49">
        <f t="shared" si="0"/>
        <v>316.69874748263891</v>
      </c>
      <c r="C37" s="39">
        <f t="shared" si="3"/>
        <v>177.38839285714283</v>
      </c>
      <c r="D37" s="148">
        <f t="shared" si="4"/>
        <v>103.24379167934029</v>
      </c>
      <c r="E37" s="41">
        <v>5</v>
      </c>
      <c r="F37" s="49">
        <f t="shared" si="1"/>
        <v>411.70837172743057</v>
      </c>
      <c r="G37" s="49">
        <f t="shared" si="2"/>
        <v>134.21692918314238</v>
      </c>
      <c r="I37" s="201"/>
      <c r="J37" s="201"/>
      <c r="K37" s="201"/>
      <c r="L37" s="201"/>
      <c r="M37" s="202"/>
      <c r="N37" s="155"/>
    </row>
    <row r="38" spans="1:14" ht="16.5" customHeight="1" x14ac:dyDescent="0.2">
      <c r="A38" s="41">
        <v>4</v>
      </c>
      <c r="B38" s="49">
        <f t="shared" si="0"/>
        <v>253.35899798611112</v>
      </c>
      <c r="C38" s="39">
        <f t="shared" si="3"/>
        <v>141.91071428571428</v>
      </c>
      <c r="D38" s="148">
        <f t="shared" si="4"/>
        <v>82.595033343472224</v>
      </c>
      <c r="E38" s="41">
        <v>4</v>
      </c>
      <c r="F38" s="49">
        <f t="shared" si="1"/>
        <v>329.36669738194445</v>
      </c>
      <c r="G38" s="49">
        <f t="shared" si="2"/>
        <v>107.3735433465139</v>
      </c>
    </row>
    <row r="39" spans="1:14" ht="16.5" customHeight="1" x14ac:dyDescent="0.2">
      <c r="A39" s="41">
        <v>3</v>
      </c>
      <c r="B39" s="49">
        <f t="shared" si="0"/>
        <v>190.01924848958333</v>
      </c>
      <c r="C39" s="39">
        <f t="shared" si="3"/>
        <v>106.43303571428572</v>
      </c>
      <c r="D39" s="148">
        <f t="shared" si="4"/>
        <v>61.946275007604171</v>
      </c>
      <c r="E39" s="41">
        <v>3</v>
      </c>
      <c r="F39" s="49">
        <f t="shared" si="1"/>
        <v>247.02502303645832</v>
      </c>
      <c r="G39" s="49">
        <f t="shared" si="2"/>
        <v>80.530157509885413</v>
      </c>
    </row>
    <row r="40" spans="1:14" ht="16.5" customHeight="1" x14ac:dyDescent="0.2">
      <c r="A40" s="41">
        <v>2</v>
      </c>
      <c r="B40" s="49">
        <f t="shared" si="0"/>
        <v>126.67949899305556</v>
      </c>
      <c r="C40" s="39">
        <f t="shared" si="3"/>
        <v>70.955357142857139</v>
      </c>
      <c r="D40" s="148">
        <f t="shared" si="4"/>
        <v>41.297516671736112</v>
      </c>
      <c r="E40" s="41">
        <v>2</v>
      </c>
      <c r="F40" s="49">
        <f t="shared" si="1"/>
        <v>164.68334869097222</v>
      </c>
      <c r="G40" s="49">
        <f t="shared" si="2"/>
        <v>53.686771673256949</v>
      </c>
    </row>
    <row r="41" spans="1:14" ht="16.5" customHeight="1" x14ac:dyDescent="0.2">
      <c r="A41" s="42">
        <v>1</v>
      </c>
      <c r="B41" s="50">
        <f t="shared" si="0"/>
        <v>63.33974949652778</v>
      </c>
      <c r="C41" s="150">
        <f t="shared" si="3"/>
        <v>35.477678571428569</v>
      </c>
      <c r="D41" s="148">
        <f t="shared" si="4"/>
        <v>20.648758335868056</v>
      </c>
      <c r="E41" s="42">
        <v>1</v>
      </c>
      <c r="F41" s="50">
        <f t="shared" si="1"/>
        <v>82.341674345486112</v>
      </c>
      <c r="G41" s="50">
        <f t="shared" si="2"/>
        <v>26.843385836628475</v>
      </c>
    </row>
    <row r="42" spans="1:14" x14ac:dyDescent="0.2">
      <c r="D42" s="151"/>
    </row>
    <row r="44" spans="1:14" ht="39" hidden="1" thickBot="1" x14ac:dyDescent="0.25">
      <c r="B44" s="34" t="s">
        <v>14</v>
      </c>
      <c r="C44" s="133"/>
      <c r="D44" s="131">
        <v>8.83</v>
      </c>
      <c r="E44" s="17"/>
    </row>
  </sheetData>
  <sheetProtection algorithmName="SHA-512" hashValue="ujdMiaQ92OOVCtvapj8Gp6HdE5mDfnWMT6VJjgOuE5FJWrw5pz74WGp6EsY7i7WCDLhHpB1W/A1m4WWPgt9mGw==" saltValue="j6Nh5/d5O+za/kJN6vKDVw==" spinCount="100000" sheet="1" objects="1" scenarios="1"/>
  <protectedRanges>
    <protectedRange sqref="L8" name="RET TC"/>
    <protectedRange sqref="L23" name="DED"/>
    <protectedRange sqref="L26" name="RET TP"/>
    <protectedRange sqref="M36" name="CALCULO RC"/>
  </protectedRanges>
  <mergeCells count="35">
    <mergeCell ref="I20:M21"/>
    <mergeCell ref="A1:G1"/>
    <mergeCell ref="I2:K2"/>
    <mergeCell ref="I4:I5"/>
    <mergeCell ref="J4:J5"/>
    <mergeCell ref="K4:K5"/>
    <mergeCell ref="L2:M2"/>
    <mergeCell ref="B2:D2"/>
    <mergeCell ref="F2:G2"/>
    <mergeCell ref="L4:L5"/>
    <mergeCell ref="M4:M5"/>
    <mergeCell ref="I18:J18"/>
    <mergeCell ref="L8:L9"/>
    <mergeCell ref="I8:K9"/>
    <mergeCell ref="I11:L12"/>
    <mergeCell ref="I14:I15"/>
    <mergeCell ref="J14:J15"/>
    <mergeCell ref="K14:K15"/>
    <mergeCell ref="L16:L17"/>
    <mergeCell ref="K16:K17"/>
    <mergeCell ref="I16:I17"/>
    <mergeCell ref="J16:J17"/>
    <mergeCell ref="L14:L15"/>
    <mergeCell ref="I26:K27"/>
    <mergeCell ref="L23:L24"/>
    <mergeCell ref="I23:K24"/>
    <mergeCell ref="L26:L27"/>
    <mergeCell ref="I29:L30"/>
    <mergeCell ref="I34:K34"/>
    <mergeCell ref="I36:L37"/>
    <mergeCell ref="M36:M37"/>
    <mergeCell ref="I32:I33"/>
    <mergeCell ref="J32:J33"/>
    <mergeCell ref="K32:K33"/>
    <mergeCell ref="L32:L33"/>
  </mergeCells>
  <phoneticPr fontId="3" type="noConversion"/>
  <hyperlinks>
    <hyperlink ref="M36:M37" r:id="rId1" display="CALCULO RC"/>
  </hyperlinks>
  <pageMargins left="0.94488188976377963" right="0.86614173228346458" top="9.46969696969697E-3" bottom="0.39370078740157483" header="0" footer="0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4" zoomScaleNormal="100" workbookViewId="0">
      <selection activeCell="D39" sqref="D39"/>
    </sheetView>
  </sheetViews>
  <sheetFormatPr baseColWidth="10" defaultColWidth="11.5703125" defaultRowHeight="12.75" x14ac:dyDescent="0.2"/>
  <cols>
    <col min="1" max="1" width="18.42578125" style="33" customWidth="1"/>
    <col min="2" max="2" width="24.85546875" style="56" customWidth="1"/>
    <col min="3" max="3" width="16.7109375" style="57" hidden="1" customWidth="1"/>
    <col min="4" max="4" width="18.42578125" style="58" customWidth="1"/>
    <col min="5" max="5" width="18.42578125" style="8" customWidth="1"/>
    <col min="6" max="6" width="24.85546875" style="53" customWidth="1"/>
    <col min="7" max="7" width="18.42578125" style="53" customWidth="1"/>
    <col min="8" max="8" width="11.5703125" style="8"/>
    <col min="9" max="9" width="19.140625" style="19" customWidth="1"/>
    <col min="10" max="10" width="17" style="8" bestFit="1" customWidth="1"/>
    <col min="11" max="11" width="19.85546875" style="8" bestFit="1" customWidth="1"/>
    <col min="12" max="12" width="16.140625" style="8" bestFit="1" customWidth="1"/>
    <col min="13" max="13" width="15.140625" style="8" customWidth="1"/>
    <col min="14" max="16384" width="11.5703125" style="8"/>
  </cols>
  <sheetData>
    <row r="1" spans="1:14" ht="65.25" customHeight="1" x14ac:dyDescent="0.2">
      <c r="A1" s="233" t="s">
        <v>53</v>
      </c>
      <c r="B1" s="234"/>
      <c r="C1" s="234"/>
      <c r="D1" s="234"/>
      <c r="E1" s="234"/>
      <c r="F1" s="234"/>
      <c r="G1" s="234"/>
    </row>
    <row r="2" spans="1:14" s="51" customFormat="1" ht="24" customHeight="1" x14ac:dyDescent="0.2">
      <c r="A2" s="52"/>
      <c r="B2" s="246" t="s">
        <v>47</v>
      </c>
      <c r="C2" s="246"/>
      <c r="D2" s="247"/>
      <c r="E2" s="63"/>
      <c r="F2" s="248" t="s">
        <v>48</v>
      </c>
      <c r="G2" s="249"/>
      <c r="I2" s="235" t="s">
        <v>58</v>
      </c>
      <c r="J2" s="235"/>
      <c r="K2" s="235"/>
      <c r="L2" s="235" t="s">
        <v>62</v>
      </c>
      <c r="M2" s="235"/>
      <c r="N2" s="38"/>
    </row>
    <row r="3" spans="1:14" s="27" customFormat="1" ht="38.25" x14ac:dyDescent="0.2">
      <c r="A3" s="43" t="s">
        <v>45</v>
      </c>
      <c r="B3" s="67" t="s">
        <v>46</v>
      </c>
      <c r="C3" s="68" t="s">
        <v>15</v>
      </c>
      <c r="D3" s="69" t="s">
        <v>50</v>
      </c>
      <c r="E3" s="43" t="s">
        <v>45</v>
      </c>
      <c r="F3" s="70" t="s">
        <v>46</v>
      </c>
      <c r="G3" s="69" t="s">
        <v>51</v>
      </c>
      <c r="I3" s="141" t="s">
        <v>57</v>
      </c>
      <c r="J3" s="141" t="s">
        <v>68</v>
      </c>
      <c r="K3" s="141" t="s">
        <v>69</v>
      </c>
      <c r="L3" s="142" t="s">
        <v>60</v>
      </c>
      <c r="M3" s="141" t="s">
        <v>61</v>
      </c>
    </row>
    <row r="4" spans="1:14" ht="15" customHeight="1" x14ac:dyDescent="0.2">
      <c r="A4" s="64">
        <v>40</v>
      </c>
      <c r="B4" s="65">
        <f>PARAMETROS!B23</f>
        <v>2081.1631977430557</v>
      </c>
      <c r="C4" s="66"/>
      <c r="D4" s="65"/>
      <c r="E4" s="64">
        <v>40</v>
      </c>
      <c r="F4" s="65">
        <f>PARAMETROS!C23</f>
        <v>2705.5121570659721</v>
      </c>
      <c r="G4" s="65">
        <f>IF(F4&gt;=$K$4,$K$4*$K$18%,F4*$K$18%)</f>
        <v>881.99696320350699</v>
      </c>
      <c r="I4" s="236">
        <v>1</v>
      </c>
      <c r="J4" s="237">
        <v>1466.4</v>
      </c>
      <c r="K4" s="237">
        <v>4070.1</v>
      </c>
      <c r="L4" s="240">
        <v>1050</v>
      </c>
      <c r="M4" s="240">
        <v>4070.1</v>
      </c>
    </row>
    <row r="5" spans="1:14" ht="15" customHeight="1" x14ac:dyDescent="0.2">
      <c r="A5" s="41">
        <v>39</v>
      </c>
      <c r="B5" s="59">
        <f>PRODUCT(B$4,A5)/A$4</f>
        <v>2029.1341177994793</v>
      </c>
      <c r="C5" s="60">
        <f>(A5/$A$4*7.5*5)/7*30*$C$46</f>
        <v>1383.6294642857142</v>
      </c>
      <c r="D5" s="59">
        <f>IF(B5&lt;C5,C5*$K$18%,B5*$K$18%)</f>
        <v>661.4977224026303</v>
      </c>
      <c r="E5" s="41">
        <v>39</v>
      </c>
      <c r="F5" s="59">
        <f>PRODUCT(F$4,E5)/E$4</f>
        <v>2637.8743531393229</v>
      </c>
      <c r="G5" s="65">
        <f t="shared" ref="G5:G43" si="0">IF(F5&gt;=$K$4,$K$4*$K$18%,F5*$K$18%)</f>
        <v>859.94703912341936</v>
      </c>
      <c r="I5" s="236"/>
      <c r="J5" s="237"/>
      <c r="K5" s="237"/>
      <c r="L5" s="240"/>
      <c r="M5" s="240"/>
    </row>
    <row r="6" spans="1:14" ht="15" customHeight="1" x14ac:dyDescent="0.2">
      <c r="A6" s="41">
        <v>38</v>
      </c>
      <c r="B6" s="59">
        <f>PRODUCT(B$4,A6)/A$4</f>
        <v>1977.105037855903</v>
      </c>
      <c r="C6" s="60">
        <f t="shared" ref="C6:C43" si="1">(A6/$A$4*7.5*5)/7*30*$C$46</f>
        <v>1348.1517857142858</v>
      </c>
      <c r="D6" s="59">
        <f t="shared" ref="D6:D43" si="2">IF(B6&lt;C6,C6*$K$18%,B6*$K$18%)</f>
        <v>644.53624234102438</v>
      </c>
      <c r="E6" s="41">
        <v>38</v>
      </c>
      <c r="F6" s="59">
        <f>PRODUCT(F$4,E6)/E$4</f>
        <v>2570.2365492126737</v>
      </c>
      <c r="G6" s="65">
        <f t="shared" si="0"/>
        <v>837.89711504333161</v>
      </c>
      <c r="I6" s="37"/>
      <c r="L6" s="129"/>
    </row>
    <row r="7" spans="1:14" ht="15" customHeight="1" thickBot="1" x14ac:dyDescent="0.25">
      <c r="A7" s="41">
        <v>37</v>
      </c>
      <c r="B7" s="59">
        <f t="shared" ref="B7:B43" si="3">PRODUCT(B$4,A7)/A$4</f>
        <v>1925.0759579123264</v>
      </c>
      <c r="C7" s="60">
        <f t="shared" si="1"/>
        <v>1312.6741071428573</v>
      </c>
      <c r="D7" s="59">
        <f t="shared" si="2"/>
        <v>627.57476227941845</v>
      </c>
      <c r="E7" s="41">
        <v>37</v>
      </c>
      <c r="F7" s="59">
        <f t="shared" ref="F7:F43" si="4">PRODUCT(F$4,E7)/E$4</f>
        <v>2502.598745286024</v>
      </c>
      <c r="G7" s="65">
        <f t="shared" si="0"/>
        <v>815.84719096324386</v>
      </c>
      <c r="I7" s="37"/>
      <c r="J7" s="19"/>
      <c r="L7" s="129"/>
    </row>
    <row r="8" spans="1:14" ht="15" customHeight="1" x14ac:dyDescent="0.2">
      <c r="A8" s="41">
        <v>36</v>
      </c>
      <c r="B8" s="59">
        <f t="shared" si="3"/>
        <v>1873.0468779687501</v>
      </c>
      <c r="C8" s="60">
        <f t="shared" si="1"/>
        <v>1277.1964285714284</v>
      </c>
      <c r="D8" s="59">
        <f t="shared" si="2"/>
        <v>610.61328221781253</v>
      </c>
      <c r="E8" s="41">
        <v>36</v>
      </c>
      <c r="F8" s="59">
        <f t="shared" si="4"/>
        <v>2434.9609413593748</v>
      </c>
      <c r="G8" s="65">
        <f t="shared" si="0"/>
        <v>793.79726688315623</v>
      </c>
      <c r="I8" s="211" t="s">
        <v>72</v>
      </c>
      <c r="J8" s="211"/>
      <c r="K8" s="212"/>
      <c r="L8" s="215">
        <v>2081.16</v>
      </c>
    </row>
    <row r="9" spans="1:14" ht="15" customHeight="1" thickBot="1" x14ac:dyDescent="0.25">
      <c r="A9" s="41">
        <v>35</v>
      </c>
      <c r="B9" s="59">
        <f t="shared" si="3"/>
        <v>1821.0177980251738</v>
      </c>
      <c r="C9" s="60">
        <f t="shared" si="1"/>
        <v>1241.71875</v>
      </c>
      <c r="D9" s="59">
        <f t="shared" si="2"/>
        <v>593.65180215620671</v>
      </c>
      <c r="E9" s="41">
        <v>35</v>
      </c>
      <c r="F9" s="59">
        <f t="shared" si="4"/>
        <v>2367.3231374327256</v>
      </c>
      <c r="G9" s="65">
        <f t="shared" si="0"/>
        <v>771.74734280306859</v>
      </c>
      <c r="I9" s="211"/>
      <c r="J9" s="211"/>
      <c r="K9" s="212"/>
      <c r="L9" s="216"/>
    </row>
    <row r="10" spans="1:14" ht="15" customHeight="1" thickBot="1" x14ac:dyDescent="0.25">
      <c r="A10" s="41">
        <v>34</v>
      </c>
      <c r="B10" s="59">
        <f t="shared" si="3"/>
        <v>1768.9887180815974</v>
      </c>
      <c r="C10" s="60">
        <f t="shared" si="1"/>
        <v>1206.2410714285716</v>
      </c>
      <c r="D10" s="59">
        <f t="shared" si="2"/>
        <v>576.69032209460079</v>
      </c>
      <c r="E10" s="41">
        <v>34</v>
      </c>
      <c r="F10" s="59">
        <f t="shared" si="4"/>
        <v>2299.6853335060759</v>
      </c>
      <c r="G10" s="65">
        <f t="shared" si="0"/>
        <v>749.69741872298084</v>
      </c>
      <c r="I10" s="137"/>
      <c r="J10" s="138"/>
      <c r="K10" s="139"/>
      <c r="L10" s="140"/>
    </row>
    <row r="11" spans="1:14" ht="15" customHeight="1" x14ac:dyDescent="0.2">
      <c r="A11" s="41">
        <v>33</v>
      </c>
      <c r="B11" s="59">
        <f t="shared" si="3"/>
        <v>1716.9596381380209</v>
      </c>
      <c r="C11" s="60">
        <f t="shared" si="1"/>
        <v>1170.7633928571427</v>
      </c>
      <c r="D11" s="59">
        <f t="shared" si="2"/>
        <v>559.72884203299486</v>
      </c>
      <c r="E11" s="41">
        <v>33</v>
      </c>
      <c r="F11" s="59">
        <f t="shared" si="4"/>
        <v>2232.0475295794267</v>
      </c>
      <c r="G11" s="65">
        <f t="shared" si="0"/>
        <v>727.64749464289309</v>
      </c>
      <c r="I11" s="217" t="s">
        <v>70</v>
      </c>
      <c r="J11" s="218"/>
      <c r="K11" s="218"/>
      <c r="L11" s="219"/>
    </row>
    <row r="12" spans="1:14" ht="15" customHeight="1" thickBot="1" x14ac:dyDescent="0.25">
      <c r="A12" s="41">
        <v>32</v>
      </c>
      <c r="B12" s="59">
        <f t="shared" si="3"/>
        <v>1664.9305581944445</v>
      </c>
      <c r="C12" s="60">
        <f t="shared" si="1"/>
        <v>1135.2857142857142</v>
      </c>
      <c r="D12" s="59">
        <f t="shared" si="2"/>
        <v>542.76736197138894</v>
      </c>
      <c r="E12" s="41">
        <v>32</v>
      </c>
      <c r="F12" s="59">
        <f t="shared" si="4"/>
        <v>2164.4097256527775</v>
      </c>
      <c r="G12" s="65">
        <f t="shared" si="0"/>
        <v>705.59757056280546</v>
      </c>
      <c r="I12" s="220"/>
      <c r="J12" s="221"/>
      <c r="K12" s="221"/>
      <c r="L12" s="222"/>
    </row>
    <row r="13" spans="1:14" ht="15" customHeight="1" thickBot="1" x14ac:dyDescent="0.25">
      <c r="A13" s="41">
        <v>31</v>
      </c>
      <c r="B13" s="59">
        <f t="shared" si="3"/>
        <v>1612.901478250868</v>
      </c>
      <c r="C13" s="60">
        <f t="shared" si="1"/>
        <v>1099.8080357142858</v>
      </c>
      <c r="D13" s="59">
        <f t="shared" si="2"/>
        <v>525.80588190978301</v>
      </c>
      <c r="E13" s="41">
        <v>31</v>
      </c>
      <c r="F13" s="59">
        <f t="shared" si="4"/>
        <v>2096.7719217261283</v>
      </c>
      <c r="G13" s="65">
        <f t="shared" si="0"/>
        <v>683.54764648271782</v>
      </c>
      <c r="I13" s="134"/>
      <c r="J13" s="135" t="s">
        <v>63</v>
      </c>
      <c r="K13" s="152" t="s">
        <v>64</v>
      </c>
      <c r="L13" s="136" t="s">
        <v>65</v>
      </c>
    </row>
    <row r="14" spans="1:14" ht="15" customHeight="1" x14ac:dyDescent="0.2">
      <c r="A14" s="41">
        <v>30</v>
      </c>
      <c r="B14" s="59">
        <f t="shared" si="3"/>
        <v>1560.8723983072919</v>
      </c>
      <c r="C14" s="60">
        <f t="shared" si="1"/>
        <v>1064.3303571428571</v>
      </c>
      <c r="D14" s="59">
        <f t="shared" si="2"/>
        <v>508.84440184817714</v>
      </c>
      <c r="E14" s="41">
        <v>30</v>
      </c>
      <c r="F14" s="59">
        <f t="shared" si="4"/>
        <v>2029.1341177994793</v>
      </c>
      <c r="G14" s="65">
        <f t="shared" si="0"/>
        <v>661.4977224026303</v>
      </c>
      <c r="I14" s="243" t="s">
        <v>66</v>
      </c>
      <c r="J14" s="223">
        <f>IF(L8&gt;=J4,L8,J4)</f>
        <v>2081.16</v>
      </c>
      <c r="K14" s="225">
        <v>23.6</v>
      </c>
      <c r="L14" s="230">
        <f>J14*K14%</f>
        <v>491.15375999999998</v>
      </c>
    </row>
    <row r="15" spans="1:14" ht="15" customHeight="1" thickBot="1" x14ac:dyDescent="0.25">
      <c r="A15" s="41">
        <v>29</v>
      </c>
      <c r="B15" s="59">
        <f t="shared" si="3"/>
        <v>1508.8433183637153</v>
      </c>
      <c r="C15" s="60">
        <f t="shared" si="1"/>
        <v>1028.8526785714287</v>
      </c>
      <c r="D15" s="59">
        <f t="shared" si="2"/>
        <v>491.88292178657122</v>
      </c>
      <c r="E15" s="41">
        <v>29</v>
      </c>
      <c r="F15" s="59">
        <f t="shared" si="4"/>
        <v>1961.4963138728297</v>
      </c>
      <c r="G15" s="65">
        <f t="shared" si="0"/>
        <v>639.44779832254244</v>
      </c>
      <c r="I15" s="244"/>
      <c r="J15" s="224"/>
      <c r="K15" s="226"/>
      <c r="L15" s="231"/>
    </row>
    <row r="16" spans="1:14" ht="15" customHeight="1" x14ac:dyDescent="0.2">
      <c r="A16" s="41">
        <v>28</v>
      </c>
      <c r="B16" s="59">
        <f t="shared" si="3"/>
        <v>1456.814238420139</v>
      </c>
      <c r="C16" s="60">
        <f t="shared" si="1"/>
        <v>993.375</v>
      </c>
      <c r="D16" s="59">
        <f t="shared" si="2"/>
        <v>474.92144172496529</v>
      </c>
      <c r="E16" s="41">
        <v>28</v>
      </c>
      <c r="F16" s="59">
        <f t="shared" si="4"/>
        <v>1893.8585099461804</v>
      </c>
      <c r="G16" s="65">
        <f t="shared" si="0"/>
        <v>617.3978742424548</v>
      </c>
      <c r="I16" s="228" t="s">
        <v>67</v>
      </c>
      <c r="J16" s="223">
        <f>IF(L8&gt;=L4,L8,L4)</f>
        <v>2081.16</v>
      </c>
      <c r="K16" s="225">
        <v>9</v>
      </c>
      <c r="L16" s="209">
        <f>J16*K16%</f>
        <v>187.30439999999999</v>
      </c>
    </row>
    <row r="17" spans="1:14" ht="15" customHeight="1" thickBot="1" x14ac:dyDescent="0.25">
      <c r="A17" s="41">
        <v>27</v>
      </c>
      <c r="B17" s="59">
        <f t="shared" si="3"/>
        <v>1404.7851584765626</v>
      </c>
      <c r="C17" s="60">
        <f t="shared" si="1"/>
        <v>957.89732142857133</v>
      </c>
      <c r="D17" s="59">
        <f t="shared" si="2"/>
        <v>457.95996166335942</v>
      </c>
      <c r="E17" s="41">
        <v>27</v>
      </c>
      <c r="F17" s="59">
        <f t="shared" si="4"/>
        <v>1826.2207060195312</v>
      </c>
      <c r="G17" s="65">
        <f t="shared" si="0"/>
        <v>595.34795016236717</v>
      </c>
      <c r="I17" s="229"/>
      <c r="J17" s="224"/>
      <c r="K17" s="226">
        <v>0.2</v>
      </c>
      <c r="L17" s="227"/>
    </row>
    <row r="18" spans="1:14" ht="15" customHeight="1" thickBot="1" x14ac:dyDescent="0.25">
      <c r="A18" s="41">
        <v>26</v>
      </c>
      <c r="B18" s="59">
        <f t="shared" si="3"/>
        <v>1352.7560785329863</v>
      </c>
      <c r="C18" s="60">
        <f t="shared" si="1"/>
        <v>922.41964285714289</v>
      </c>
      <c r="D18" s="59">
        <f t="shared" si="2"/>
        <v>440.99848160175355</v>
      </c>
      <c r="E18" s="41">
        <v>26</v>
      </c>
      <c r="F18" s="59">
        <f t="shared" si="4"/>
        <v>1758.5829020928818</v>
      </c>
      <c r="G18" s="65">
        <f t="shared" si="0"/>
        <v>573.29802608227953</v>
      </c>
      <c r="I18" s="241" t="s">
        <v>71</v>
      </c>
      <c r="J18" s="242"/>
      <c r="K18" s="153">
        <f>(K14+K16)</f>
        <v>32.6</v>
      </c>
      <c r="L18" s="147">
        <f>SUM(L14:L17)</f>
        <v>678.45815999999991</v>
      </c>
    </row>
    <row r="19" spans="1:14" ht="15" customHeight="1" x14ac:dyDescent="0.2">
      <c r="A19" s="41">
        <v>25</v>
      </c>
      <c r="B19" s="59">
        <f t="shared" si="3"/>
        <v>1300.7269985894097</v>
      </c>
      <c r="C19" s="60">
        <f t="shared" si="1"/>
        <v>886.94196428571422</v>
      </c>
      <c r="D19" s="59">
        <f t="shared" si="2"/>
        <v>424.03700154014757</v>
      </c>
      <c r="E19" s="41">
        <v>25</v>
      </c>
      <c r="F19" s="59">
        <f t="shared" si="4"/>
        <v>1690.9450981662326</v>
      </c>
      <c r="G19" s="65">
        <f t="shared" si="0"/>
        <v>551.24810200219179</v>
      </c>
      <c r="I19" s="143"/>
      <c r="J19" s="144"/>
      <c r="K19" s="145"/>
      <c r="L19" s="146"/>
    </row>
    <row r="20" spans="1:14" ht="15" customHeight="1" x14ac:dyDescent="0.2">
      <c r="A20" s="41">
        <v>24</v>
      </c>
      <c r="B20" s="59">
        <f t="shared" si="3"/>
        <v>1248.6979186458334</v>
      </c>
      <c r="C20" s="60">
        <f t="shared" si="1"/>
        <v>851.46428571428578</v>
      </c>
      <c r="D20" s="59">
        <f t="shared" si="2"/>
        <v>407.0755214785417</v>
      </c>
      <c r="E20" s="41">
        <v>24</v>
      </c>
      <c r="F20" s="59">
        <f t="shared" si="4"/>
        <v>1623.3072942395834</v>
      </c>
      <c r="G20" s="65">
        <f t="shared" si="0"/>
        <v>529.19817792210415</v>
      </c>
      <c r="I20" s="245" t="s">
        <v>88</v>
      </c>
      <c r="J20" s="245"/>
      <c r="K20" s="245"/>
      <c r="L20" s="245"/>
      <c r="M20" s="245"/>
      <c r="N20" s="245"/>
    </row>
    <row r="21" spans="1:14" ht="15" customHeight="1" x14ac:dyDescent="0.2">
      <c r="A21" s="41">
        <v>23</v>
      </c>
      <c r="B21" s="59">
        <f t="shared" si="3"/>
        <v>1196.6688387022571</v>
      </c>
      <c r="C21" s="60">
        <f t="shared" si="1"/>
        <v>815.98660714285711</v>
      </c>
      <c r="D21" s="59">
        <f t="shared" si="2"/>
        <v>390.11404141693583</v>
      </c>
      <c r="E21" s="41">
        <v>23</v>
      </c>
      <c r="F21" s="59">
        <f t="shared" si="4"/>
        <v>1555.6694903129342</v>
      </c>
      <c r="G21" s="65">
        <f t="shared" si="0"/>
        <v>507.14825384201657</v>
      </c>
      <c r="I21" s="245"/>
      <c r="J21" s="245"/>
      <c r="K21" s="245"/>
      <c r="L21" s="245"/>
      <c r="M21" s="245"/>
      <c r="N21" s="245"/>
    </row>
    <row r="22" spans="1:14" ht="15" customHeight="1" thickBot="1" x14ac:dyDescent="0.25">
      <c r="A22" s="41">
        <v>22</v>
      </c>
      <c r="B22" s="59">
        <f t="shared" si="3"/>
        <v>1144.6397587586805</v>
      </c>
      <c r="C22" s="60">
        <f t="shared" si="1"/>
        <v>780.50892857142867</v>
      </c>
      <c r="D22" s="59">
        <f t="shared" si="2"/>
        <v>373.15256135532985</v>
      </c>
      <c r="E22" s="41">
        <v>22</v>
      </c>
      <c r="F22" s="59">
        <f t="shared" si="4"/>
        <v>1488.0316863862847</v>
      </c>
      <c r="G22" s="65">
        <f t="shared" si="0"/>
        <v>485.09832976192882</v>
      </c>
      <c r="I22" s="37"/>
      <c r="J22" s="19"/>
      <c r="L22" s="129"/>
    </row>
    <row r="23" spans="1:14" ht="15" customHeight="1" x14ac:dyDescent="0.2">
      <c r="A23" s="41">
        <v>21</v>
      </c>
      <c r="B23" s="59">
        <f t="shared" si="3"/>
        <v>1092.6106788151042</v>
      </c>
      <c r="C23" s="60">
        <f t="shared" si="1"/>
        <v>745.03125</v>
      </c>
      <c r="D23" s="59">
        <f t="shared" si="2"/>
        <v>356.19108129372398</v>
      </c>
      <c r="E23" s="41">
        <v>21</v>
      </c>
      <c r="F23" s="59">
        <f t="shared" si="4"/>
        <v>1420.3938824596353</v>
      </c>
      <c r="G23" s="65">
        <f t="shared" si="0"/>
        <v>463.04840568184113</v>
      </c>
      <c r="I23" s="211" t="s">
        <v>73</v>
      </c>
      <c r="J23" s="211"/>
      <c r="K23" s="212"/>
      <c r="L23" s="213">
        <v>0</v>
      </c>
    </row>
    <row r="24" spans="1:14" ht="15" customHeight="1" thickBot="1" x14ac:dyDescent="0.25">
      <c r="A24" s="41">
        <v>20</v>
      </c>
      <c r="B24" s="59">
        <f t="shared" si="3"/>
        <v>1040.5815988715278</v>
      </c>
      <c r="C24" s="60">
        <f t="shared" si="1"/>
        <v>709.55357142857133</v>
      </c>
      <c r="D24" s="59">
        <f t="shared" si="2"/>
        <v>339.22960123211806</v>
      </c>
      <c r="E24" s="41">
        <v>20</v>
      </c>
      <c r="F24" s="59">
        <f t="shared" si="4"/>
        <v>1352.7560785329861</v>
      </c>
      <c r="G24" s="65">
        <f t="shared" si="0"/>
        <v>440.9984816017535</v>
      </c>
      <c r="I24" s="211"/>
      <c r="J24" s="211"/>
      <c r="K24" s="212"/>
      <c r="L24" s="214"/>
    </row>
    <row r="25" spans="1:14" ht="15" customHeight="1" thickBot="1" x14ac:dyDescent="0.25">
      <c r="A25" s="41">
        <v>19</v>
      </c>
      <c r="B25" s="59">
        <f t="shared" si="3"/>
        <v>988.5525189279515</v>
      </c>
      <c r="C25" s="60">
        <f t="shared" si="1"/>
        <v>674.07589285714289</v>
      </c>
      <c r="D25" s="59">
        <f t="shared" si="2"/>
        <v>322.26812117051219</v>
      </c>
      <c r="E25" s="41">
        <v>19</v>
      </c>
      <c r="F25" s="59">
        <f t="shared" si="4"/>
        <v>1285.1182746063369</v>
      </c>
      <c r="G25" s="65">
        <f t="shared" si="0"/>
        <v>418.9485575216658</v>
      </c>
      <c r="I25" s="37"/>
      <c r="J25" s="19"/>
      <c r="L25" s="129"/>
    </row>
    <row r="26" spans="1:14" ht="15" customHeight="1" x14ac:dyDescent="0.2">
      <c r="A26" s="41">
        <v>18</v>
      </c>
      <c r="B26" s="59">
        <f t="shared" si="3"/>
        <v>936.52343898437505</v>
      </c>
      <c r="C26" s="60">
        <f t="shared" si="1"/>
        <v>638.59821428571422</v>
      </c>
      <c r="D26" s="59">
        <f t="shared" si="2"/>
        <v>305.30664110890626</v>
      </c>
      <c r="E26" s="41">
        <v>18</v>
      </c>
      <c r="F26" s="59">
        <f t="shared" si="4"/>
        <v>1217.4804706796874</v>
      </c>
      <c r="G26" s="65">
        <f t="shared" si="0"/>
        <v>396.89863344157811</v>
      </c>
      <c r="I26" s="211" t="s">
        <v>78</v>
      </c>
      <c r="J26" s="211"/>
      <c r="K26" s="212"/>
      <c r="L26" s="215">
        <v>0</v>
      </c>
    </row>
    <row r="27" spans="1:14" ht="15" customHeight="1" thickBot="1" x14ac:dyDescent="0.25">
      <c r="A27" s="41">
        <v>17</v>
      </c>
      <c r="B27" s="59">
        <f t="shared" si="3"/>
        <v>884.49435904079871</v>
      </c>
      <c r="C27" s="60">
        <f t="shared" si="1"/>
        <v>603.12053571428578</v>
      </c>
      <c r="D27" s="59">
        <f t="shared" si="2"/>
        <v>288.34516104730039</v>
      </c>
      <c r="E27" s="41">
        <v>17</v>
      </c>
      <c r="F27" s="59">
        <f t="shared" si="4"/>
        <v>1149.842666753038</v>
      </c>
      <c r="G27" s="65">
        <f t="shared" si="0"/>
        <v>374.84870936149042</v>
      </c>
      <c r="I27" s="211"/>
      <c r="J27" s="211"/>
      <c r="K27" s="212"/>
      <c r="L27" s="216"/>
    </row>
    <row r="28" spans="1:14" ht="15" customHeight="1" thickBot="1" x14ac:dyDescent="0.25">
      <c r="A28" s="41">
        <v>16</v>
      </c>
      <c r="B28" s="59">
        <f t="shared" si="3"/>
        <v>832.46527909722226</v>
      </c>
      <c r="C28" s="60">
        <f t="shared" si="1"/>
        <v>567.64285714285711</v>
      </c>
      <c r="D28" s="59">
        <f t="shared" si="2"/>
        <v>271.38368098569447</v>
      </c>
      <c r="E28" s="41">
        <v>16</v>
      </c>
      <c r="F28" s="59">
        <f t="shared" si="4"/>
        <v>1082.2048628263888</v>
      </c>
      <c r="G28" s="65">
        <f t="shared" si="0"/>
        <v>352.79878528140273</v>
      </c>
      <c r="I28" s="37"/>
      <c r="J28" s="19"/>
      <c r="L28" s="129"/>
    </row>
    <row r="29" spans="1:14" ht="15" customHeight="1" x14ac:dyDescent="0.2">
      <c r="A29" s="41">
        <v>15</v>
      </c>
      <c r="B29" s="59">
        <f t="shared" si="3"/>
        <v>780.43619915364593</v>
      </c>
      <c r="C29" s="60">
        <f t="shared" si="1"/>
        <v>532.16517857142856</v>
      </c>
      <c r="D29" s="59">
        <f t="shared" si="2"/>
        <v>254.42220092408857</v>
      </c>
      <c r="E29" s="41">
        <v>15</v>
      </c>
      <c r="F29" s="59">
        <f t="shared" si="4"/>
        <v>1014.5670588997397</v>
      </c>
      <c r="G29" s="65">
        <f t="shared" si="0"/>
        <v>330.74886120131515</v>
      </c>
      <c r="I29" s="217" t="s">
        <v>74</v>
      </c>
      <c r="J29" s="218"/>
      <c r="K29" s="218"/>
      <c r="L29" s="219"/>
    </row>
    <row r="30" spans="1:14" ht="15" customHeight="1" thickBot="1" x14ac:dyDescent="0.25">
      <c r="A30" s="41">
        <v>14</v>
      </c>
      <c r="B30" s="59">
        <f t="shared" si="3"/>
        <v>728.40711921006948</v>
      </c>
      <c r="C30" s="60">
        <f t="shared" si="1"/>
        <v>496.6875</v>
      </c>
      <c r="D30" s="59">
        <f t="shared" si="2"/>
        <v>237.46072086248265</v>
      </c>
      <c r="E30" s="41">
        <v>14</v>
      </c>
      <c r="F30" s="59">
        <f t="shared" si="4"/>
        <v>946.92925497309022</v>
      </c>
      <c r="G30" s="65">
        <f t="shared" si="0"/>
        <v>308.6989371212274</v>
      </c>
      <c r="I30" s="220"/>
      <c r="J30" s="221"/>
      <c r="K30" s="221"/>
      <c r="L30" s="222"/>
    </row>
    <row r="31" spans="1:14" ht="15" customHeight="1" thickBot="1" x14ac:dyDescent="0.25">
      <c r="A31" s="41">
        <v>13</v>
      </c>
      <c r="B31" s="59">
        <f t="shared" si="3"/>
        <v>676.37803926649315</v>
      </c>
      <c r="C31" s="60">
        <f t="shared" si="1"/>
        <v>461.20982142857144</v>
      </c>
      <c r="D31" s="59">
        <f t="shared" si="2"/>
        <v>220.49924080087678</v>
      </c>
      <c r="E31" s="41">
        <v>13</v>
      </c>
      <c r="F31" s="59">
        <f t="shared" si="4"/>
        <v>879.2914510464409</v>
      </c>
      <c r="G31" s="65">
        <f t="shared" si="0"/>
        <v>286.64901304113977</v>
      </c>
      <c r="I31" s="156" t="s">
        <v>79</v>
      </c>
      <c r="J31" s="154" t="s">
        <v>63</v>
      </c>
      <c r="K31" s="152" t="s">
        <v>80</v>
      </c>
      <c r="L31" s="136" t="s">
        <v>65</v>
      </c>
    </row>
    <row r="32" spans="1:14" ht="15" customHeight="1" x14ac:dyDescent="0.2">
      <c r="A32" s="41">
        <v>12</v>
      </c>
      <c r="B32" s="59">
        <f t="shared" si="3"/>
        <v>624.3489593229167</v>
      </c>
      <c r="C32" s="60">
        <f t="shared" si="1"/>
        <v>425.73214285714289</v>
      </c>
      <c r="D32" s="59">
        <f t="shared" si="2"/>
        <v>203.53776073927085</v>
      </c>
      <c r="E32" s="41">
        <v>12</v>
      </c>
      <c r="F32" s="59">
        <f t="shared" si="4"/>
        <v>811.65364711979169</v>
      </c>
      <c r="G32" s="65">
        <f t="shared" si="0"/>
        <v>264.59908896105208</v>
      </c>
      <c r="I32" s="203">
        <f>((L23/40*7.5*5)/7)*30*$C$46</f>
        <v>0</v>
      </c>
      <c r="J32" s="205">
        <f>IF(L26&lt;I32,I32,L26)</f>
        <v>0</v>
      </c>
      <c r="K32" s="207">
        <v>32.6</v>
      </c>
      <c r="L32" s="209">
        <f>J32*K32%</f>
        <v>0</v>
      </c>
    </row>
    <row r="33" spans="1:14" ht="15" customHeight="1" thickBot="1" x14ac:dyDescent="0.25">
      <c r="A33" s="41">
        <v>11</v>
      </c>
      <c r="B33" s="59">
        <f t="shared" si="3"/>
        <v>572.31987937934025</v>
      </c>
      <c r="C33" s="60">
        <f t="shared" si="1"/>
        <v>390.25446428571433</v>
      </c>
      <c r="D33" s="59">
        <f t="shared" si="2"/>
        <v>186.57628067766493</v>
      </c>
      <c r="E33" s="41">
        <v>11</v>
      </c>
      <c r="F33" s="59">
        <f t="shared" si="4"/>
        <v>744.01584319314236</v>
      </c>
      <c r="G33" s="65">
        <f t="shared" si="0"/>
        <v>242.54916488096441</v>
      </c>
      <c r="I33" s="204"/>
      <c r="J33" s="206"/>
      <c r="K33" s="208"/>
      <c r="L33" s="210"/>
    </row>
    <row r="34" spans="1:14" ht="15" customHeight="1" thickBot="1" x14ac:dyDescent="0.25">
      <c r="A34" s="41">
        <v>10</v>
      </c>
      <c r="B34" s="59">
        <f t="shared" si="3"/>
        <v>520.29079943576392</v>
      </c>
      <c r="C34" s="60">
        <f t="shared" si="1"/>
        <v>354.77678571428567</v>
      </c>
      <c r="D34" s="59">
        <f t="shared" si="2"/>
        <v>169.61480061605903</v>
      </c>
      <c r="E34" s="41">
        <v>10</v>
      </c>
      <c r="F34" s="59">
        <f t="shared" si="4"/>
        <v>676.37803926649303</v>
      </c>
      <c r="G34" s="65">
        <f t="shared" si="0"/>
        <v>220.49924080087675</v>
      </c>
      <c r="I34" s="198" t="s">
        <v>75</v>
      </c>
      <c r="J34" s="199"/>
      <c r="K34" s="200"/>
      <c r="L34" s="147">
        <f>SUM(L32)</f>
        <v>0</v>
      </c>
    </row>
    <row r="35" spans="1:14" ht="15" customHeight="1" x14ac:dyDescent="0.2">
      <c r="A35" s="41">
        <v>9</v>
      </c>
      <c r="B35" s="59">
        <f t="shared" si="3"/>
        <v>468.26171949218752</v>
      </c>
      <c r="C35" s="60">
        <f t="shared" si="1"/>
        <v>319.29910714285711</v>
      </c>
      <c r="D35" s="59">
        <f t="shared" si="2"/>
        <v>152.65332055445313</v>
      </c>
      <c r="E35" s="41">
        <v>9</v>
      </c>
      <c r="F35" s="59">
        <f t="shared" si="4"/>
        <v>608.74023533984371</v>
      </c>
      <c r="G35" s="65">
        <f t="shared" si="0"/>
        <v>198.44931672078906</v>
      </c>
      <c r="I35" s="37"/>
      <c r="J35" s="19"/>
      <c r="L35" s="129"/>
      <c r="N35" s="155"/>
    </row>
    <row r="36" spans="1:14" ht="15" customHeight="1" x14ac:dyDescent="0.2">
      <c r="A36" s="41">
        <v>8</v>
      </c>
      <c r="B36" s="59">
        <f t="shared" si="3"/>
        <v>416.23263954861113</v>
      </c>
      <c r="C36" s="60">
        <f t="shared" si="1"/>
        <v>283.82142857142856</v>
      </c>
      <c r="D36" s="59">
        <f t="shared" si="2"/>
        <v>135.69184049284723</v>
      </c>
      <c r="E36" s="41">
        <v>8</v>
      </c>
      <c r="F36" s="59">
        <f t="shared" si="4"/>
        <v>541.10243141319438</v>
      </c>
      <c r="G36" s="65">
        <f t="shared" si="0"/>
        <v>176.39939264070136</v>
      </c>
      <c r="I36" s="201" t="s">
        <v>77</v>
      </c>
      <c r="J36" s="201"/>
      <c r="K36" s="201"/>
      <c r="L36" s="201"/>
      <c r="M36" s="202" t="s">
        <v>76</v>
      </c>
      <c r="N36" s="155"/>
    </row>
    <row r="37" spans="1:14" ht="15" customHeight="1" x14ac:dyDescent="0.2">
      <c r="A37" s="41">
        <v>7</v>
      </c>
      <c r="B37" s="59">
        <f t="shared" si="3"/>
        <v>364.20355960503474</v>
      </c>
      <c r="C37" s="60">
        <f t="shared" si="1"/>
        <v>248.34375</v>
      </c>
      <c r="D37" s="59">
        <f t="shared" si="2"/>
        <v>118.73036043124132</v>
      </c>
      <c r="E37" s="41">
        <v>7</v>
      </c>
      <c r="F37" s="59">
        <f t="shared" si="4"/>
        <v>473.46462748654511</v>
      </c>
      <c r="G37" s="65">
        <f t="shared" si="0"/>
        <v>154.3494685606137</v>
      </c>
      <c r="I37" s="201"/>
      <c r="J37" s="201"/>
      <c r="K37" s="201"/>
      <c r="L37" s="201"/>
      <c r="M37" s="202"/>
      <c r="N37" s="155"/>
    </row>
    <row r="38" spans="1:14" ht="15" customHeight="1" x14ac:dyDescent="0.2">
      <c r="A38" s="41">
        <v>6</v>
      </c>
      <c r="B38" s="59">
        <f t="shared" si="3"/>
        <v>312.17447966145835</v>
      </c>
      <c r="C38" s="60">
        <f t="shared" si="1"/>
        <v>212.86607142857144</v>
      </c>
      <c r="D38" s="59">
        <f t="shared" si="2"/>
        <v>101.76888036963543</v>
      </c>
      <c r="E38" s="41">
        <v>6</v>
      </c>
      <c r="F38" s="59">
        <f t="shared" si="4"/>
        <v>405.82682355989584</v>
      </c>
      <c r="G38" s="65">
        <f t="shared" si="0"/>
        <v>132.29954448052604</v>
      </c>
      <c r="I38" s="8"/>
    </row>
    <row r="39" spans="1:14" ht="15" customHeight="1" x14ac:dyDescent="0.2">
      <c r="A39" s="41">
        <v>5</v>
      </c>
      <c r="B39" s="59">
        <f t="shared" si="3"/>
        <v>260.14539971788196</v>
      </c>
      <c r="C39" s="60">
        <f t="shared" si="1"/>
        <v>177.38839285714283</v>
      </c>
      <c r="D39" s="59">
        <f t="shared" si="2"/>
        <v>84.807400308029514</v>
      </c>
      <c r="E39" s="41">
        <v>5</v>
      </c>
      <c r="F39" s="59">
        <f t="shared" si="4"/>
        <v>338.18901963324652</v>
      </c>
      <c r="G39" s="65">
        <f t="shared" si="0"/>
        <v>110.24962040043837</v>
      </c>
      <c r="I39" s="8"/>
    </row>
    <row r="40" spans="1:14" ht="15" customHeight="1" x14ac:dyDescent="0.2">
      <c r="A40" s="41">
        <v>4</v>
      </c>
      <c r="B40" s="59">
        <f t="shared" si="3"/>
        <v>208.11631977430557</v>
      </c>
      <c r="C40" s="60">
        <f t="shared" si="1"/>
        <v>141.91071428571428</v>
      </c>
      <c r="D40" s="59">
        <f t="shared" si="2"/>
        <v>67.845920246423617</v>
      </c>
      <c r="E40" s="41">
        <v>4</v>
      </c>
      <c r="F40" s="59">
        <f t="shared" si="4"/>
        <v>270.55121570659719</v>
      </c>
      <c r="G40" s="65">
        <f t="shared" si="0"/>
        <v>88.199696320350682</v>
      </c>
      <c r="I40" s="8"/>
    </row>
    <row r="41" spans="1:14" ht="15" customHeight="1" x14ac:dyDescent="0.2">
      <c r="A41" s="41">
        <v>3</v>
      </c>
      <c r="B41" s="59">
        <f t="shared" si="3"/>
        <v>156.08723983072917</v>
      </c>
      <c r="C41" s="60">
        <f t="shared" si="1"/>
        <v>106.43303571428572</v>
      </c>
      <c r="D41" s="59">
        <f t="shared" si="2"/>
        <v>50.884440184817713</v>
      </c>
      <c r="E41" s="41">
        <v>3</v>
      </c>
      <c r="F41" s="59">
        <f t="shared" si="4"/>
        <v>202.91341177994792</v>
      </c>
      <c r="G41" s="65">
        <f t="shared" si="0"/>
        <v>66.149772240263019</v>
      </c>
      <c r="I41" s="8"/>
    </row>
    <row r="42" spans="1:14" ht="15" customHeight="1" x14ac:dyDescent="0.2">
      <c r="A42" s="41">
        <v>2</v>
      </c>
      <c r="B42" s="59">
        <f t="shared" si="3"/>
        <v>104.05815988715278</v>
      </c>
      <c r="C42" s="60">
        <f t="shared" si="1"/>
        <v>70.955357142857139</v>
      </c>
      <c r="D42" s="59">
        <f t="shared" si="2"/>
        <v>33.922960123211809</v>
      </c>
      <c r="E42" s="41">
        <v>2</v>
      </c>
      <c r="F42" s="59">
        <f t="shared" si="4"/>
        <v>135.2756078532986</v>
      </c>
      <c r="G42" s="65">
        <f t="shared" si="0"/>
        <v>44.099848160175341</v>
      </c>
      <c r="I42" s="8"/>
    </row>
    <row r="43" spans="1:14" ht="15" customHeight="1" x14ac:dyDescent="0.2">
      <c r="A43" s="42">
        <v>1</v>
      </c>
      <c r="B43" s="61">
        <f t="shared" si="3"/>
        <v>52.029079943576392</v>
      </c>
      <c r="C43" s="62">
        <f t="shared" si="1"/>
        <v>35.477678571428569</v>
      </c>
      <c r="D43" s="160">
        <f t="shared" si="2"/>
        <v>16.961480061605904</v>
      </c>
      <c r="E43" s="42">
        <v>1</v>
      </c>
      <c r="F43" s="61">
        <f t="shared" si="4"/>
        <v>67.637803926649298</v>
      </c>
      <c r="G43" s="61">
        <f t="shared" si="0"/>
        <v>22.049924080087671</v>
      </c>
      <c r="I43" s="8"/>
    </row>
    <row r="44" spans="1:14" x14ac:dyDescent="0.2">
      <c r="D44" s="161"/>
    </row>
    <row r="46" spans="1:14" ht="26.25" hidden="1" thickBot="1" x14ac:dyDescent="0.25">
      <c r="B46" s="54" t="s">
        <v>14</v>
      </c>
      <c r="C46" s="55">
        <v>8.83</v>
      </c>
      <c r="E46" s="17"/>
    </row>
  </sheetData>
  <sheetProtection algorithmName="SHA-512" hashValue="DbMaVU0Nwz64q4YQdfyglnm6YziZJo7VN4uo0zWxPQ4diiXXuxwukDdsn6VyTRiBNyFPxvPUmixYeaqO2+GAtQ==" saltValue="OMNymfrRH3AZYLWQzPoHng==" spinCount="100000" sheet="1" objects="1" scenarios="1"/>
  <protectedRanges>
    <protectedRange sqref="M36" name="CALCULO RC"/>
    <protectedRange sqref="L26" name="RET TP"/>
    <protectedRange sqref="L23" name="DED"/>
    <protectedRange sqref="L8" name="RET TC"/>
  </protectedRanges>
  <mergeCells count="35">
    <mergeCell ref="B2:D2"/>
    <mergeCell ref="F2:G2"/>
    <mergeCell ref="A1:G1"/>
    <mergeCell ref="I2:K2"/>
    <mergeCell ref="L2:M2"/>
    <mergeCell ref="I4:I5"/>
    <mergeCell ref="J4:J5"/>
    <mergeCell ref="K4:K5"/>
    <mergeCell ref="L4:L5"/>
    <mergeCell ref="M4:M5"/>
    <mergeCell ref="I8:K9"/>
    <mergeCell ref="L8:L9"/>
    <mergeCell ref="I11:L12"/>
    <mergeCell ref="I14:I15"/>
    <mergeCell ref="J14:J15"/>
    <mergeCell ref="K14:K15"/>
    <mergeCell ref="L14:L15"/>
    <mergeCell ref="I16:I17"/>
    <mergeCell ref="J16:J17"/>
    <mergeCell ref="K16:K17"/>
    <mergeCell ref="L16:L17"/>
    <mergeCell ref="I18:J18"/>
    <mergeCell ref="I20:N21"/>
    <mergeCell ref="I23:K24"/>
    <mergeCell ref="L23:L24"/>
    <mergeCell ref="I26:K27"/>
    <mergeCell ref="L26:L27"/>
    <mergeCell ref="I34:K34"/>
    <mergeCell ref="I36:L37"/>
    <mergeCell ref="M36:M37"/>
    <mergeCell ref="I29:L30"/>
    <mergeCell ref="I32:I33"/>
    <mergeCell ref="J32:J33"/>
    <mergeCell ref="K32:K33"/>
    <mergeCell ref="L32:L33"/>
  </mergeCells>
  <hyperlinks>
    <hyperlink ref="M36:M37" r:id="rId1" display="CALCULO RC"/>
  </hyperlinks>
  <pageMargins left="0.94488188976377963" right="0.86614173228346458" top="0" bottom="0.39370078740157483" header="0" footer="0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G9" sqref="G9:G10"/>
    </sheetView>
  </sheetViews>
  <sheetFormatPr baseColWidth="10" defaultColWidth="11.5703125" defaultRowHeight="14.25" x14ac:dyDescent="0.2"/>
  <cols>
    <col min="1" max="1" width="40.7109375" style="192" customWidth="1"/>
    <col min="2" max="2" width="24.85546875" style="76" customWidth="1"/>
    <col min="3" max="4" width="24.7109375" style="76" customWidth="1"/>
    <col min="5" max="5" width="8" style="5" customWidth="1"/>
    <col min="6" max="6" width="30" style="7" customWidth="1"/>
    <col min="7" max="7" width="20.85546875" style="5" customWidth="1"/>
    <col min="8" max="8" width="24.140625" style="5" customWidth="1"/>
    <col min="9" max="9" width="20.5703125" style="5" customWidth="1"/>
    <col min="10" max="10" width="15.28515625" style="5" customWidth="1"/>
    <col min="11" max="16384" width="11.5703125" style="5"/>
  </cols>
  <sheetData>
    <row r="1" spans="1:10" s="8" customFormat="1" ht="55.5" customHeight="1" thickBot="1" x14ac:dyDescent="0.25">
      <c r="A1" s="252" t="s">
        <v>92</v>
      </c>
      <c r="B1" s="252"/>
      <c r="C1" s="252"/>
      <c r="D1" s="252"/>
      <c r="F1" s="182" t="s">
        <v>94</v>
      </c>
      <c r="G1" s="259" t="s">
        <v>58</v>
      </c>
      <c r="H1" s="260"/>
      <c r="I1" s="259" t="s">
        <v>62</v>
      </c>
      <c r="J1" s="260"/>
    </row>
    <row r="2" spans="1:10" s="38" customFormat="1" ht="34.5" customHeight="1" x14ac:dyDescent="0.2">
      <c r="A2" s="188" t="s">
        <v>93</v>
      </c>
      <c r="B2" s="250" t="s">
        <v>47</v>
      </c>
      <c r="C2" s="251"/>
      <c r="D2" s="251"/>
      <c r="E2" s="315"/>
      <c r="F2" s="141" t="s">
        <v>95</v>
      </c>
      <c r="G2" s="141" t="s">
        <v>68</v>
      </c>
      <c r="H2" s="141" t="s">
        <v>69</v>
      </c>
      <c r="I2" s="142" t="s">
        <v>60</v>
      </c>
      <c r="J2" s="141" t="s">
        <v>61</v>
      </c>
    </row>
    <row r="3" spans="1:10" s="27" customFormat="1" ht="25.5" x14ac:dyDescent="0.2">
      <c r="A3" s="158"/>
      <c r="B3" s="71" t="s">
        <v>85</v>
      </c>
      <c r="C3" s="159" t="s">
        <v>90</v>
      </c>
      <c r="D3" s="159" t="s">
        <v>98</v>
      </c>
      <c r="F3" s="163">
        <v>8.83</v>
      </c>
      <c r="G3" s="164">
        <v>1466.4</v>
      </c>
      <c r="H3" s="164">
        <v>4070.1</v>
      </c>
      <c r="I3" s="162">
        <v>1050</v>
      </c>
      <c r="J3" s="162">
        <v>4070.1</v>
      </c>
    </row>
    <row r="4" spans="1:10" s="21" customFormat="1" ht="30.75" customHeight="1" thickBot="1" x14ac:dyDescent="0.25">
      <c r="A4" s="189" t="s">
        <v>91</v>
      </c>
      <c r="B4" s="171">
        <v>28799.26</v>
      </c>
      <c r="C4" s="318">
        <f>B4/12</f>
        <v>2399.938333333333</v>
      </c>
      <c r="D4" s="319">
        <f>B4/14</f>
        <v>2057.0899999999997</v>
      </c>
      <c r="F4" s="177"/>
      <c r="G4" s="178"/>
      <c r="H4" s="178"/>
      <c r="I4" s="179"/>
      <c r="J4" s="179"/>
    </row>
    <row r="5" spans="1:10" s="8" customFormat="1" ht="24" customHeight="1" thickBot="1" x14ac:dyDescent="0.25">
      <c r="A5" s="190" t="s">
        <v>81</v>
      </c>
      <c r="B5" s="172">
        <f>B4*56%</f>
        <v>16127.5856</v>
      </c>
      <c r="C5" s="172">
        <f>B5/12</f>
        <v>1343.9654666666668</v>
      </c>
      <c r="D5" s="173">
        <f>B5/14</f>
        <v>1151.9703999999999</v>
      </c>
      <c r="F5" s="261" t="s">
        <v>97</v>
      </c>
      <c r="G5" s="261"/>
      <c r="H5" s="261"/>
      <c r="I5" s="176">
        <v>0</v>
      </c>
    </row>
    <row r="6" spans="1:10" s="8" customFormat="1" ht="24" customHeight="1" x14ac:dyDescent="0.2">
      <c r="A6" s="190" t="s">
        <v>82</v>
      </c>
      <c r="B6" s="172">
        <f>B4*56%</f>
        <v>16127.5856</v>
      </c>
      <c r="C6" s="320">
        <f>B6/12</f>
        <v>1343.9654666666668</v>
      </c>
      <c r="D6" s="316">
        <f t="shared" ref="D6:D10" si="0">B6/14</f>
        <v>1151.9703999999999</v>
      </c>
      <c r="F6" s="262" t="s">
        <v>100</v>
      </c>
      <c r="G6" s="263"/>
      <c r="H6" s="263"/>
      <c r="I6" s="264"/>
      <c r="J6" s="181"/>
    </row>
    <row r="7" spans="1:10" s="8" customFormat="1" ht="24" customHeight="1" thickBot="1" x14ac:dyDescent="0.25">
      <c r="A7" s="190" t="s">
        <v>83</v>
      </c>
      <c r="B7" s="172">
        <f>B4*60%</f>
        <v>17279.555999999997</v>
      </c>
      <c r="C7" s="320">
        <f>B7/12</f>
        <v>1439.9629999999997</v>
      </c>
      <c r="D7" s="316">
        <f t="shared" si="0"/>
        <v>1234.2539999999997</v>
      </c>
      <c r="F7" s="265"/>
      <c r="G7" s="266"/>
      <c r="H7" s="266"/>
      <c r="I7" s="267"/>
      <c r="J7" s="181"/>
    </row>
    <row r="8" spans="1:10" s="8" customFormat="1" ht="24" customHeight="1" thickBot="1" x14ac:dyDescent="0.25">
      <c r="A8" s="190" t="s">
        <v>84</v>
      </c>
      <c r="B8" s="172">
        <f>B4*75%</f>
        <v>21599.445</v>
      </c>
      <c r="C8" s="172">
        <f>B8/12</f>
        <v>1799.9537499999999</v>
      </c>
      <c r="D8" s="173">
        <f t="shared" si="0"/>
        <v>1542.8174999999999</v>
      </c>
      <c r="F8" s="134"/>
      <c r="G8" s="154" t="s">
        <v>63</v>
      </c>
      <c r="H8" s="183" t="s">
        <v>64</v>
      </c>
      <c r="I8" s="165" t="s">
        <v>65</v>
      </c>
    </row>
    <row r="9" spans="1:10" s="8" customFormat="1" ht="15" customHeight="1" x14ac:dyDescent="0.2">
      <c r="A9" s="190"/>
      <c r="B9" s="172"/>
      <c r="C9" s="172"/>
      <c r="D9" s="173"/>
      <c r="F9" s="268" t="s">
        <v>66</v>
      </c>
      <c r="G9" s="223">
        <f>IF($I$5&gt;=$G$3,$I$5,$G$3)</f>
        <v>1466.4</v>
      </c>
      <c r="H9" s="207">
        <v>16.52</v>
      </c>
      <c r="I9" s="223">
        <f>G9*H9%</f>
        <v>242.24928</v>
      </c>
    </row>
    <row r="10" spans="1:10" s="8" customFormat="1" ht="15" customHeight="1" thickBot="1" x14ac:dyDescent="0.25">
      <c r="A10" s="191" t="s">
        <v>86</v>
      </c>
      <c r="B10" s="174">
        <f>(SUM(B5:B8))/4</f>
        <v>17783.54305</v>
      </c>
      <c r="C10" s="321">
        <f>(SUM(C5:C8))/4</f>
        <v>1481.9619208333331</v>
      </c>
      <c r="D10" s="317">
        <f t="shared" si="0"/>
        <v>1270.2530750000001</v>
      </c>
      <c r="F10" s="269"/>
      <c r="G10" s="224"/>
      <c r="H10" s="208"/>
      <c r="I10" s="224"/>
    </row>
    <row r="11" spans="1:10" ht="14.25" customHeight="1" x14ac:dyDescent="0.2">
      <c r="F11" s="268" t="s">
        <v>67</v>
      </c>
      <c r="G11" s="223">
        <f>IF($I$5&gt;=$I$3,$I$5,$I$3)</f>
        <v>1050</v>
      </c>
      <c r="H11" s="207">
        <v>9</v>
      </c>
      <c r="I11" s="223">
        <f>G11*H11%</f>
        <v>94.5</v>
      </c>
    </row>
    <row r="12" spans="1:10" ht="15" thickBot="1" x14ac:dyDescent="0.25">
      <c r="F12" s="269"/>
      <c r="G12" s="224"/>
      <c r="H12" s="208"/>
      <c r="I12" s="224"/>
    </row>
    <row r="13" spans="1:10" ht="24" customHeight="1" thickBot="1" x14ac:dyDescent="0.25">
      <c r="F13" s="241" t="s">
        <v>96</v>
      </c>
      <c r="G13" s="242"/>
      <c r="H13" s="185">
        <f>SUM(H9:H12)</f>
        <v>25.52</v>
      </c>
      <c r="I13" s="180">
        <f>SUM(I9:I12)</f>
        <v>336.74928</v>
      </c>
    </row>
    <row r="16" spans="1:10" ht="15" customHeight="1" thickBot="1" x14ac:dyDescent="0.25"/>
    <row r="17" spans="1:10" ht="28.5" customHeight="1" thickBot="1" x14ac:dyDescent="0.25">
      <c r="A17" s="193"/>
      <c r="B17"/>
      <c r="C17"/>
      <c r="D17"/>
      <c r="F17" s="261" t="s">
        <v>97</v>
      </c>
      <c r="G17" s="261"/>
      <c r="H17" s="261"/>
      <c r="I17" s="176">
        <v>0</v>
      </c>
    </row>
    <row r="18" spans="1:10" ht="42" customHeight="1" thickBot="1" x14ac:dyDescent="0.25">
      <c r="A18" s="322"/>
      <c r="B18" s="323"/>
      <c r="C18" s="323"/>
      <c r="D18" s="194"/>
      <c r="F18" s="255" t="s">
        <v>101</v>
      </c>
      <c r="G18" s="256"/>
      <c r="H18" s="256"/>
      <c r="I18" s="256"/>
      <c r="J18" s="330"/>
    </row>
    <row r="19" spans="1:10" ht="15" thickBot="1" x14ac:dyDescent="0.25">
      <c r="A19" s="196"/>
      <c r="B19" s="196"/>
      <c r="C19" s="196"/>
      <c r="D19" s="196"/>
      <c r="F19" s="184"/>
      <c r="G19" s="154" t="s">
        <v>63</v>
      </c>
      <c r="H19" s="183" t="s">
        <v>64</v>
      </c>
      <c r="I19" s="165" t="s">
        <v>65</v>
      </c>
      <c r="J19" s="322"/>
    </row>
    <row r="20" spans="1:10" ht="21" customHeight="1" x14ac:dyDescent="0.2">
      <c r="A20" s="324"/>
      <c r="B20" s="195"/>
      <c r="C20" s="195"/>
      <c r="D20" s="195"/>
      <c r="F20" s="228" t="s">
        <v>66</v>
      </c>
      <c r="G20" s="223">
        <f>IF($I$17&gt;=$G$3,$I$17,$G$3)</f>
        <v>1466.4</v>
      </c>
      <c r="H20" s="205">
        <v>23.6</v>
      </c>
      <c r="I20" s="328">
        <f>G20*H20%</f>
        <v>346.07040000000006</v>
      </c>
      <c r="J20" s="330"/>
    </row>
    <row r="21" spans="1:10" ht="24.75" customHeight="1" thickBot="1" x14ac:dyDescent="0.25">
      <c r="A21" s="324"/>
      <c r="B21" s="195"/>
      <c r="C21" s="195"/>
      <c r="D21" s="195"/>
      <c r="F21" s="229"/>
      <c r="G21" s="224"/>
      <c r="H21" s="206"/>
      <c r="I21" s="329"/>
      <c r="J21" s="330"/>
    </row>
    <row r="22" spans="1:10" ht="20.25" customHeight="1" x14ac:dyDescent="0.2">
      <c r="A22" s="325"/>
      <c r="B22" s="326"/>
      <c r="C22" s="326"/>
      <c r="D22" s="326"/>
      <c r="F22" s="228" t="s">
        <v>67</v>
      </c>
      <c r="G22" s="223">
        <f>IF($I$17&gt;=$I$3,$I$17,$I$3)</f>
        <v>1050</v>
      </c>
      <c r="H22" s="205">
        <v>7.8</v>
      </c>
      <c r="I22" s="223">
        <f>G22*H22%</f>
        <v>81.900000000000006</v>
      </c>
      <c r="J22" s="322"/>
    </row>
    <row r="23" spans="1:10" ht="14.25" customHeight="1" thickBot="1" x14ac:dyDescent="0.25">
      <c r="A23" s="187"/>
      <c r="B23" s="187"/>
      <c r="C23" s="197"/>
      <c r="D23" s="197"/>
      <c r="F23" s="229"/>
      <c r="G23" s="224"/>
      <c r="H23" s="206"/>
      <c r="I23" s="224"/>
      <c r="J23" s="322"/>
    </row>
    <row r="24" spans="1:10" ht="25.5" customHeight="1" thickBot="1" x14ac:dyDescent="0.25">
      <c r="A24" s="187"/>
      <c r="B24" s="187"/>
      <c r="C24" s="197"/>
      <c r="D24" s="197"/>
      <c r="F24" s="241" t="s">
        <v>99</v>
      </c>
      <c r="G24" s="242"/>
      <c r="H24" s="185">
        <f>(H20+H22)</f>
        <v>31.400000000000002</v>
      </c>
      <c r="I24" s="331">
        <f>(I20+I22)</f>
        <v>427.97040000000004</v>
      </c>
      <c r="J24" s="330"/>
    </row>
    <row r="25" spans="1:10" ht="26.25" customHeight="1" x14ac:dyDescent="0.2">
      <c r="A25" s="325"/>
      <c r="B25" s="326"/>
      <c r="C25" s="326"/>
      <c r="D25" s="326"/>
    </row>
    <row r="26" spans="1:10" ht="20.25" customHeight="1" x14ac:dyDescent="0.2">
      <c r="A26" s="187"/>
      <c r="B26" s="187"/>
      <c r="C26" s="327"/>
      <c r="D26" s="327"/>
      <c r="F26" s="254" t="s">
        <v>77</v>
      </c>
      <c r="G26" s="254"/>
      <c r="H26" s="254"/>
      <c r="I26" s="253" t="s">
        <v>76</v>
      </c>
    </row>
    <row r="27" spans="1:10" x14ac:dyDescent="0.2">
      <c r="A27" s="187"/>
      <c r="B27" s="187"/>
      <c r="C27" s="327"/>
      <c r="D27" s="327"/>
      <c r="F27" s="254"/>
      <c r="G27" s="254"/>
      <c r="H27" s="254"/>
      <c r="I27" s="253"/>
    </row>
    <row r="29" spans="1:10" x14ac:dyDescent="0.2">
      <c r="H29" s="186"/>
    </row>
  </sheetData>
  <sheetProtection algorithmName="SHA-512" hashValue="/BotDcILylFqXIa4DmT22QIdbLVRv94lZVDgye2Wm7x03B9HQZAXlxulSAQsT0rM2PEnKYhTF1JXPZlHgC1pYw==" saltValue="l59Fr6Aj8xeBHlvD/5IzMg==" spinCount="100000" sheet="1" objects="1" scenarios="1"/>
  <protectedRanges>
    <protectedRange sqref="I26" name="CALCULO RC"/>
    <protectedRange sqref="C26:D26" name="RET PRACTICAS"/>
    <protectedRange sqref="C23:D23" name="DED"/>
    <protectedRange sqref="I5 I17" name="RET PREDOC"/>
  </protectedRanges>
  <mergeCells count="29">
    <mergeCell ref="B18:C18"/>
    <mergeCell ref="F17:H17"/>
    <mergeCell ref="F18:I18"/>
    <mergeCell ref="H20:H21"/>
    <mergeCell ref="G20:G21"/>
    <mergeCell ref="F20:F21"/>
    <mergeCell ref="F24:G24"/>
    <mergeCell ref="H22:H23"/>
    <mergeCell ref="G22:G23"/>
    <mergeCell ref="F22:F23"/>
    <mergeCell ref="H11:H12"/>
    <mergeCell ref="I9:I10"/>
    <mergeCell ref="I26:I27"/>
    <mergeCell ref="F26:H27"/>
    <mergeCell ref="I20:I21"/>
    <mergeCell ref="I22:I23"/>
    <mergeCell ref="B2:D2"/>
    <mergeCell ref="A1:D1"/>
    <mergeCell ref="F13:G13"/>
    <mergeCell ref="G11:G12"/>
    <mergeCell ref="I1:J1"/>
    <mergeCell ref="G1:H1"/>
    <mergeCell ref="G9:G10"/>
    <mergeCell ref="F5:H5"/>
    <mergeCell ref="F6:I7"/>
    <mergeCell ref="I11:I12"/>
    <mergeCell ref="F9:F10"/>
    <mergeCell ref="F11:F12"/>
    <mergeCell ref="H9:H10"/>
  </mergeCells>
  <hyperlinks>
    <hyperlink ref="I26:I27" r:id="rId1" display="CALCULO RC"/>
  </hyperlinks>
  <pageMargins left="0.94488188976377963" right="0.94488188976377963" top="0" bottom="0.39370078740157483" header="0" footer="0"/>
  <pageSetup paperSize="9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5" zoomScaleNormal="100" workbookViewId="0">
      <selection activeCell="J32" sqref="J32:J33"/>
    </sheetView>
  </sheetViews>
  <sheetFormatPr baseColWidth="10" defaultColWidth="11.5703125" defaultRowHeight="14.25" x14ac:dyDescent="0.2"/>
  <cols>
    <col min="1" max="1" width="18.42578125" style="4" customWidth="1"/>
    <col min="2" max="2" width="24.85546875" style="74" customWidth="1"/>
    <col min="3" max="3" width="16.7109375" style="75" hidden="1" customWidth="1"/>
    <col min="4" max="4" width="18.42578125" style="74" customWidth="1"/>
    <col min="5" max="5" width="18.42578125" style="5" customWidth="1"/>
    <col min="6" max="6" width="24.85546875" style="74" customWidth="1"/>
    <col min="7" max="7" width="18.42578125" style="74" customWidth="1"/>
    <col min="8" max="8" width="11.5703125" style="5"/>
    <col min="9" max="9" width="17.7109375" style="7" customWidth="1"/>
    <col min="10" max="10" width="20.42578125" style="5" customWidth="1"/>
    <col min="11" max="11" width="19.42578125" style="5" customWidth="1"/>
    <col min="12" max="12" width="17.42578125" style="5" customWidth="1"/>
    <col min="13" max="13" width="15.42578125" style="5" customWidth="1"/>
    <col min="14" max="16384" width="11.5703125" style="5"/>
  </cols>
  <sheetData>
    <row r="1" spans="1:14" s="8" customFormat="1" ht="65.25" customHeight="1" x14ac:dyDescent="0.2">
      <c r="A1" s="233" t="s">
        <v>54</v>
      </c>
      <c r="B1" s="234"/>
      <c r="C1" s="234"/>
      <c r="D1" s="234"/>
      <c r="E1" s="234"/>
      <c r="F1" s="234"/>
      <c r="G1" s="234"/>
      <c r="K1" s="19"/>
    </row>
    <row r="2" spans="1:14" s="38" customFormat="1" ht="24.75" customHeight="1" x14ac:dyDescent="0.2">
      <c r="A2" s="47"/>
      <c r="B2" s="270" t="s">
        <v>47</v>
      </c>
      <c r="C2" s="270"/>
      <c r="D2" s="271"/>
      <c r="E2" s="45"/>
      <c r="F2" s="270" t="s">
        <v>48</v>
      </c>
      <c r="G2" s="271"/>
      <c r="I2" s="235" t="s">
        <v>58</v>
      </c>
      <c r="J2" s="235"/>
      <c r="K2" s="235"/>
      <c r="L2" s="235" t="s">
        <v>62</v>
      </c>
      <c r="M2" s="235"/>
    </row>
    <row r="3" spans="1:14" s="27" customFormat="1" ht="38.25" x14ac:dyDescent="0.2">
      <c r="A3" s="46" t="s">
        <v>45</v>
      </c>
      <c r="B3" s="71" t="s">
        <v>46</v>
      </c>
      <c r="C3" s="72" t="s">
        <v>15</v>
      </c>
      <c r="D3" s="73" t="s">
        <v>50</v>
      </c>
      <c r="E3" s="43" t="s">
        <v>45</v>
      </c>
      <c r="F3" s="71" t="s">
        <v>46</v>
      </c>
      <c r="G3" s="73" t="s">
        <v>51</v>
      </c>
      <c r="I3" s="141" t="s">
        <v>57</v>
      </c>
      <c r="J3" s="141" t="s">
        <v>68</v>
      </c>
      <c r="K3" s="141" t="s">
        <v>69</v>
      </c>
      <c r="L3" s="142" t="s">
        <v>60</v>
      </c>
      <c r="M3" s="141" t="s">
        <v>61</v>
      </c>
    </row>
    <row r="4" spans="1:14" ht="15" customHeight="1" x14ac:dyDescent="0.2">
      <c r="A4" s="40">
        <v>40</v>
      </c>
      <c r="B4" s="77">
        <f>PARAMETROS!B5</f>
        <v>1538.2510592013887</v>
      </c>
      <c r="C4" s="78"/>
      <c r="D4" s="77"/>
      <c r="E4" s="40">
        <v>40</v>
      </c>
      <c r="F4" s="77">
        <f>PARAMETROS!C5</f>
        <v>1999.7263769618055</v>
      </c>
      <c r="G4" s="77">
        <f>IF(F4&gt;$K$4,$K$4*$K$18%,F4*$K$18%)</f>
        <v>651.91079888954857</v>
      </c>
      <c r="I4" s="236">
        <v>1</v>
      </c>
      <c r="J4" s="237">
        <v>1466.4</v>
      </c>
      <c r="K4" s="237">
        <v>4070.1</v>
      </c>
      <c r="L4" s="240">
        <v>1050</v>
      </c>
      <c r="M4" s="240">
        <v>4070.1</v>
      </c>
      <c r="N4" s="8"/>
    </row>
    <row r="5" spans="1:14" ht="15" customHeight="1" x14ac:dyDescent="0.2">
      <c r="A5" s="41">
        <v>39</v>
      </c>
      <c r="B5" s="79">
        <f>PRODUCT(B$4,A5)/A$4</f>
        <v>1499.7947827213541</v>
      </c>
      <c r="C5" s="80">
        <f>(A5/$A$4*7.5*5)/7*30*$C$46</f>
        <v>1383.6294642857142</v>
      </c>
      <c r="D5" s="79">
        <f>IF(B5&lt;C5,C5*$K$18%,B5*$K$18%)</f>
        <v>488.93309916716146</v>
      </c>
      <c r="E5" s="41">
        <v>39</v>
      </c>
      <c r="F5" s="79">
        <f>PRODUCT(F$4,E5)/E$4</f>
        <v>1949.7332175377603</v>
      </c>
      <c r="G5" s="79">
        <f t="shared" ref="G5:G43" si="0">IF(F5&gt;$K$4,$K$4*$K$18%,F5*$K$18%)</f>
        <v>635.61302891730986</v>
      </c>
      <c r="I5" s="236"/>
      <c r="J5" s="237"/>
      <c r="K5" s="237"/>
      <c r="L5" s="240"/>
      <c r="M5" s="240"/>
      <c r="N5" s="8"/>
    </row>
    <row r="6" spans="1:14" ht="15" customHeight="1" x14ac:dyDescent="0.2">
      <c r="A6" s="41">
        <v>38</v>
      </c>
      <c r="B6" s="79">
        <f t="shared" ref="B6:B43" si="1">PRODUCT(B$4,A6)/A$4</f>
        <v>1461.3385062413192</v>
      </c>
      <c r="C6" s="80">
        <f t="shared" ref="C6:C43" si="2">(A6/$A$4*7.5*5)/7*30*$C$46</f>
        <v>1348.1517857142858</v>
      </c>
      <c r="D6" s="79">
        <f t="shared" ref="D6:D43" si="3">IF(B6&lt;C6,C6*$K$18%,B6*$K$18%)</f>
        <v>476.39635303467008</v>
      </c>
      <c r="E6" s="41">
        <v>38</v>
      </c>
      <c r="F6" s="79">
        <f t="shared" ref="F6:F43" si="4">PRODUCT(F$4,E6)/E$4</f>
        <v>1899.7400581137153</v>
      </c>
      <c r="G6" s="79">
        <f t="shared" si="0"/>
        <v>619.31525894507126</v>
      </c>
      <c r="I6" s="37"/>
      <c r="J6" s="8"/>
      <c r="K6" s="8"/>
      <c r="L6" s="129"/>
      <c r="M6" s="8"/>
      <c r="N6" s="8"/>
    </row>
    <row r="7" spans="1:14" ht="15" customHeight="1" thickBot="1" x14ac:dyDescent="0.25">
      <c r="A7" s="41">
        <v>37</v>
      </c>
      <c r="B7" s="79">
        <f t="shared" si="1"/>
        <v>1422.8822297612846</v>
      </c>
      <c r="C7" s="80">
        <f t="shared" si="2"/>
        <v>1312.6741071428573</v>
      </c>
      <c r="D7" s="79">
        <f t="shared" si="3"/>
        <v>463.85960690217883</v>
      </c>
      <c r="E7" s="41">
        <v>37</v>
      </c>
      <c r="F7" s="79">
        <f t="shared" si="4"/>
        <v>1849.7468986896699</v>
      </c>
      <c r="G7" s="79">
        <f t="shared" si="0"/>
        <v>603.01748897283244</v>
      </c>
      <c r="I7" s="37"/>
      <c r="J7" s="19"/>
      <c r="K7" s="8"/>
      <c r="L7" s="129"/>
      <c r="M7" s="8"/>
      <c r="N7" s="8"/>
    </row>
    <row r="8" spans="1:14" ht="15" customHeight="1" x14ac:dyDescent="0.2">
      <c r="A8" s="41">
        <v>36</v>
      </c>
      <c r="B8" s="79">
        <f t="shared" si="1"/>
        <v>1384.4259532812498</v>
      </c>
      <c r="C8" s="80">
        <f t="shared" si="2"/>
        <v>1277.1964285714284</v>
      </c>
      <c r="D8" s="79">
        <f t="shared" si="3"/>
        <v>451.32286076968745</v>
      </c>
      <c r="E8" s="41">
        <v>36</v>
      </c>
      <c r="F8" s="79">
        <f t="shared" si="4"/>
        <v>1799.753739265625</v>
      </c>
      <c r="G8" s="79">
        <f t="shared" si="0"/>
        <v>586.71971900059373</v>
      </c>
      <c r="I8" s="211" t="s">
        <v>72</v>
      </c>
      <c r="J8" s="211"/>
      <c r="K8" s="212"/>
      <c r="L8" s="215">
        <v>1538.25</v>
      </c>
      <c r="M8" s="8"/>
      <c r="N8" s="8"/>
    </row>
    <row r="9" spans="1:14" ht="15" customHeight="1" thickBot="1" x14ac:dyDescent="0.25">
      <c r="A9" s="41">
        <v>35</v>
      </c>
      <c r="B9" s="79">
        <f t="shared" si="1"/>
        <v>1345.969676801215</v>
      </c>
      <c r="C9" s="80">
        <f t="shared" si="2"/>
        <v>1241.71875</v>
      </c>
      <c r="D9" s="79">
        <f t="shared" si="3"/>
        <v>438.78611463719608</v>
      </c>
      <c r="E9" s="41">
        <v>35</v>
      </c>
      <c r="F9" s="79">
        <f t="shared" si="4"/>
        <v>1749.76057984158</v>
      </c>
      <c r="G9" s="79">
        <f t="shared" si="0"/>
        <v>570.42194902835513</v>
      </c>
      <c r="I9" s="211"/>
      <c r="J9" s="211"/>
      <c r="K9" s="212"/>
      <c r="L9" s="216"/>
      <c r="M9" s="8"/>
      <c r="N9" s="8"/>
    </row>
    <row r="10" spans="1:14" ht="15" customHeight="1" thickBot="1" x14ac:dyDescent="0.25">
      <c r="A10" s="41">
        <v>34</v>
      </c>
      <c r="B10" s="79">
        <f t="shared" si="1"/>
        <v>1307.5134003211804</v>
      </c>
      <c r="C10" s="80">
        <f t="shared" si="2"/>
        <v>1206.2410714285716</v>
      </c>
      <c r="D10" s="79">
        <f t="shared" si="3"/>
        <v>426.24936850470482</v>
      </c>
      <c r="E10" s="41">
        <v>34</v>
      </c>
      <c r="F10" s="79">
        <f t="shared" si="4"/>
        <v>1699.7674204175346</v>
      </c>
      <c r="G10" s="79">
        <f t="shared" si="0"/>
        <v>554.1241790561163</v>
      </c>
      <c r="I10" s="137"/>
      <c r="J10" s="138"/>
      <c r="K10" s="139"/>
      <c r="L10" s="140"/>
      <c r="M10" s="8"/>
      <c r="N10" s="8"/>
    </row>
    <row r="11" spans="1:14" ht="15" customHeight="1" x14ac:dyDescent="0.2">
      <c r="A11" s="41">
        <v>33</v>
      </c>
      <c r="B11" s="79">
        <f t="shared" si="1"/>
        <v>1269.0571238411455</v>
      </c>
      <c r="C11" s="80">
        <f t="shared" si="2"/>
        <v>1170.7633928571427</v>
      </c>
      <c r="D11" s="79">
        <f t="shared" si="3"/>
        <v>413.71262237221345</v>
      </c>
      <c r="E11" s="41">
        <v>33</v>
      </c>
      <c r="F11" s="79">
        <f t="shared" si="4"/>
        <v>1649.7742609934896</v>
      </c>
      <c r="G11" s="79">
        <f t="shared" si="0"/>
        <v>537.82640908387759</v>
      </c>
      <c r="I11" s="217" t="s">
        <v>70</v>
      </c>
      <c r="J11" s="218"/>
      <c r="K11" s="218"/>
      <c r="L11" s="219"/>
      <c r="M11" s="8"/>
      <c r="N11" s="8"/>
    </row>
    <row r="12" spans="1:14" ht="15" customHeight="1" thickBot="1" x14ac:dyDescent="0.25">
      <c r="A12" s="41">
        <v>32</v>
      </c>
      <c r="B12" s="79">
        <f t="shared" si="1"/>
        <v>1230.6008473611109</v>
      </c>
      <c r="C12" s="80">
        <f t="shared" si="2"/>
        <v>1135.2857142857142</v>
      </c>
      <c r="D12" s="79">
        <f t="shared" si="3"/>
        <v>401.17587623972219</v>
      </c>
      <c r="E12" s="41">
        <v>32</v>
      </c>
      <c r="F12" s="79">
        <f t="shared" si="4"/>
        <v>1599.7811015694444</v>
      </c>
      <c r="G12" s="79">
        <f t="shared" si="0"/>
        <v>521.52863911163888</v>
      </c>
      <c r="I12" s="220"/>
      <c r="J12" s="221"/>
      <c r="K12" s="221"/>
      <c r="L12" s="222"/>
      <c r="M12" s="8"/>
      <c r="N12" s="8"/>
    </row>
    <row r="13" spans="1:14" ht="15" customHeight="1" thickBot="1" x14ac:dyDescent="0.25">
      <c r="A13" s="41">
        <v>31</v>
      </c>
      <c r="B13" s="79">
        <f t="shared" si="1"/>
        <v>1192.1445708810763</v>
      </c>
      <c r="C13" s="80">
        <f t="shared" si="2"/>
        <v>1099.8080357142858</v>
      </c>
      <c r="D13" s="79">
        <f t="shared" si="3"/>
        <v>388.63913010723093</v>
      </c>
      <c r="E13" s="41">
        <v>31</v>
      </c>
      <c r="F13" s="79">
        <f t="shared" si="4"/>
        <v>1549.7879421453993</v>
      </c>
      <c r="G13" s="79">
        <f t="shared" si="0"/>
        <v>505.23086913940017</v>
      </c>
      <c r="I13" s="134"/>
      <c r="J13" s="154" t="s">
        <v>63</v>
      </c>
      <c r="K13" s="152" t="s">
        <v>64</v>
      </c>
      <c r="L13" s="165" t="s">
        <v>65</v>
      </c>
      <c r="M13" s="8"/>
      <c r="N13" s="8"/>
    </row>
    <row r="14" spans="1:14" ht="15" customHeight="1" x14ac:dyDescent="0.2">
      <c r="A14" s="41">
        <v>30</v>
      </c>
      <c r="B14" s="79">
        <f t="shared" si="1"/>
        <v>1153.6882944010415</v>
      </c>
      <c r="C14" s="80">
        <f t="shared" si="2"/>
        <v>1064.3303571428571</v>
      </c>
      <c r="D14" s="79">
        <f t="shared" si="3"/>
        <v>376.10238397473955</v>
      </c>
      <c r="E14" s="41">
        <v>30</v>
      </c>
      <c r="F14" s="79">
        <f t="shared" si="4"/>
        <v>1499.7947827213543</v>
      </c>
      <c r="G14" s="79">
        <f t="shared" si="0"/>
        <v>488.93309916716152</v>
      </c>
      <c r="I14" s="243" t="s">
        <v>66</v>
      </c>
      <c r="J14" s="223">
        <f>IF(L8&gt;=J4,L8,J4)</f>
        <v>1538.25</v>
      </c>
      <c r="K14" s="225">
        <v>23.6</v>
      </c>
      <c r="L14" s="230">
        <f>J14*K14%</f>
        <v>363.02700000000004</v>
      </c>
      <c r="M14" s="8"/>
      <c r="N14" s="8"/>
    </row>
    <row r="15" spans="1:14" ht="15" customHeight="1" thickBot="1" x14ac:dyDescent="0.25">
      <c r="A15" s="41">
        <v>29</v>
      </c>
      <c r="B15" s="79">
        <f t="shared" si="1"/>
        <v>1115.2320179210069</v>
      </c>
      <c r="C15" s="80">
        <f t="shared" si="2"/>
        <v>1028.8526785714287</v>
      </c>
      <c r="D15" s="79">
        <f t="shared" si="3"/>
        <v>363.56563784224824</v>
      </c>
      <c r="E15" s="41">
        <v>29</v>
      </c>
      <c r="F15" s="79">
        <f t="shared" si="4"/>
        <v>1449.8016232973091</v>
      </c>
      <c r="G15" s="79">
        <f t="shared" si="0"/>
        <v>472.6353291949228</v>
      </c>
      <c r="I15" s="244"/>
      <c r="J15" s="224"/>
      <c r="K15" s="226"/>
      <c r="L15" s="231"/>
      <c r="M15" s="8"/>
      <c r="N15" s="8"/>
    </row>
    <row r="16" spans="1:14" ht="15" customHeight="1" x14ac:dyDescent="0.2">
      <c r="A16" s="41">
        <v>28</v>
      </c>
      <c r="B16" s="79">
        <f t="shared" si="1"/>
        <v>1076.7757414409721</v>
      </c>
      <c r="C16" s="80">
        <f t="shared" si="2"/>
        <v>993.375</v>
      </c>
      <c r="D16" s="79">
        <f t="shared" si="3"/>
        <v>351.02889170975692</v>
      </c>
      <c r="E16" s="41">
        <v>28</v>
      </c>
      <c r="F16" s="79">
        <f t="shared" si="4"/>
        <v>1399.8084638732639</v>
      </c>
      <c r="G16" s="79">
        <f t="shared" si="0"/>
        <v>456.33755922268404</v>
      </c>
      <c r="I16" s="228" t="s">
        <v>67</v>
      </c>
      <c r="J16" s="223">
        <f>IF(L8&gt;=L4,L8,L4)</f>
        <v>1538.25</v>
      </c>
      <c r="K16" s="225">
        <v>9</v>
      </c>
      <c r="L16" s="209">
        <f>J16*K16%</f>
        <v>138.4425</v>
      </c>
      <c r="M16" s="8"/>
      <c r="N16" s="8"/>
    </row>
    <row r="17" spans="1:14" ht="15" customHeight="1" thickBot="1" x14ac:dyDescent="0.25">
      <c r="A17" s="41">
        <v>27</v>
      </c>
      <c r="B17" s="79">
        <f t="shared" si="1"/>
        <v>1038.3194649609372</v>
      </c>
      <c r="C17" s="80">
        <f t="shared" si="2"/>
        <v>957.89732142857133</v>
      </c>
      <c r="D17" s="79">
        <f t="shared" si="3"/>
        <v>338.49214557726555</v>
      </c>
      <c r="E17" s="41">
        <v>27</v>
      </c>
      <c r="F17" s="79">
        <f t="shared" si="4"/>
        <v>1349.8153044492187</v>
      </c>
      <c r="G17" s="79">
        <f t="shared" si="0"/>
        <v>440.03978925044532</v>
      </c>
      <c r="I17" s="229"/>
      <c r="J17" s="224"/>
      <c r="K17" s="226">
        <v>0.2</v>
      </c>
      <c r="L17" s="227"/>
      <c r="M17" s="8"/>
      <c r="N17" s="8"/>
    </row>
    <row r="18" spans="1:14" ht="16.5" customHeight="1" thickBot="1" x14ac:dyDescent="0.25">
      <c r="A18" s="41">
        <v>26</v>
      </c>
      <c r="B18" s="79">
        <f t="shared" si="1"/>
        <v>999.86318848090264</v>
      </c>
      <c r="C18" s="80">
        <f t="shared" si="2"/>
        <v>922.41964285714289</v>
      </c>
      <c r="D18" s="79">
        <f t="shared" si="3"/>
        <v>325.95539944477429</v>
      </c>
      <c r="E18" s="41">
        <v>26</v>
      </c>
      <c r="F18" s="79">
        <f t="shared" si="4"/>
        <v>1299.8221450251735</v>
      </c>
      <c r="G18" s="79">
        <f t="shared" si="0"/>
        <v>423.74201927820661</v>
      </c>
      <c r="I18" s="241" t="s">
        <v>71</v>
      </c>
      <c r="J18" s="242"/>
      <c r="K18" s="153">
        <f>(K14+K16)</f>
        <v>32.6</v>
      </c>
      <c r="L18" s="147">
        <f>SUM(L14:L17)</f>
        <v>501.46950000000004</v>
      </c>
      <c r="M18" s="8"/>
      <c r="N18" s="8"/>
    </row>
    <row r="19" spans="1:14" ht="15" customHeight="1" x14ac:dyDescent="0.2">
      <c r="A19" s="41">
        <v>25</v>
      </c>
      <c r="B19" s="79">
        <f t="shared" si="1"/>
        <v>961.40691200086781</v>
      </c>
      <c r="C19" s="80">
        <f t="shared" si="2"/>
        <v>886.94196428571422</v>
      </c>
      <c r="D19" s="79">
        <f t="shared" si="3"/>
        <v>313.41865331228291</v>
      </c>
      <c r="E19" s="41">
        <v>25</v>
      </c>
      <c r="F19" s="79">
        <f t="shared" si="4"/>
        <v>1249.8289856011284</v>
      </c>
      <c r="G19" s="79">
        <f t="shared" si="0"/>
        <v>407.44424930596784</v>
      </c>
      <c r="I19" s="143"/>
      <c r="J19" s="144"/>
      <c r="K19" s="145"/>
      <c r="L19" s="146"/>
      <c r="M19" s="8"/>
      <c r="N19" s="8"/>
    </row>
    <row r="20" spans="1:14" ht="15" customHeight="1" x14ac:dyDescent="0.2">
      <c r="A20" s="41">
        <v>24</v>
      </c>
      <c r="B20" s="79">
        <f t="shared" si="1"/>
        <v>922.9506355208332</v>
      </c>
      <c r="C20" s="80">
        <f t="shared" si="2"/>
        <v>851.46428571428578</v>
      </c>
      <c r="D20" s="79">
        <f t="shared" si="3"/>
        <v>300.88190717979165</v>
      </c>
      <c r="E20" s="41">
        <v>24</v>
      </c>
      <c r="F20" s="79">
        <f t="shared" si="4"/>
        <v>1199.8358261770832</v>
      </c>
      <c r="G20" s="79">
        <f t="shared" si="0"/>
        <v>391.14647933372913</v>
      </c>
      <c r="I20" s="245" t="s">
        <v>88</v>
      </c>
      <c r="J20" s="245"/>
      <c r="K20" s="245"/>
      <c r="L20" s="245"/>
      <c r="M20" s="245"/>
      <c r="N20" s="245"/>
    </row>
    <row r="21" spans="1:14" ht="15" customHeight="1" x14ac:dyDescent="0.2">
      <c r="A21" s="41">
        <v>23</v>
      </c>
      <c r="B21" s="79">
        <f t="shared" si="1"/>
        <v>884.4943590407986</v>
      </c>
      <c r="C21" s="80">
        <f t="shared" si="2"/>
        <v>815.98660714285711</v>
      </c>
      <c r="D21" s="79">
        <f t="shared" si="3"/>
        <v>288.34516104730034</v>
      </c>
      <c r="E21" s="41">
        <v>23</v>
      </c>
      <c r="F21" s="79">
        <f t="shared" si="4"/>
        <v>1149.8426667530382</v>
      </c>
      <c r="G21" s="79">
        <f t="shared" si="0"/>
        <v>374.84870936149048</v>
      </c>
      <c r="I21" s="245"/>
      <c r="J21" s="245"/>
      <c r="K21" s="245"/>
      <c r="L21" s="245"/>
      <c r="M21" s="245"/>
      <c r="N21" s="245"/>
    </row>
    <row r="22" spans="1:14" ht="15" customHeight="1" thickBot="1" x14ac:dyDescent="0.25">
      <c r="A22" s="41">
        <v>22</v>
      </c>
      <c r="B22" s="79">
        <f t="shared" si="1"/>
        <v>846.03808256076377</v>
      </c>
      <c r="C22" s="80">
        <f t="shared" si="2"/>
        <v>780.50892857142867</v>
      </c>
      <c r="D22" s="79">
        <f t="shared" si="3"/>
        <v>275.80841491480902</v>
      </c>
      <c r="E22" s="41">
        <v>22</v>
      </c>
      <c r="F22" s="79">
        <f t="shared" si="4"/>
        <v>1099.849507328993</v>
      </c>
      <c r="G22" s="79">
        <f t="shared" si="0"/>
        <v>358.55093938925171</v>
      </c>
      <c r="I22" s="37"/>
      <c r="J22" s="19"/>
      <c r="K22" s="8"/>
      <c r="L22" s="129"/>
      <c r="M22" s="8"/>
      <c r="N22" s="8"/>
    </row>
    <row r="23" spans="1:14" ht="15" customHeight="1" x14ac:dyDescent="0.2">
      <c r="A23" s="41">
        <v>21</v>
      </c>
      <c r="B23" s="79">
        <f t="shared" si="1"/>
        <v>807.58180608072905</v>
      </c>
      <c r="C23" s="80">
        <f t="shared" si="2"/>
        <v>745.03125</v>
      </c>
      <c r="D23" s="79">
        <f t="shared" si="3"/>
        <v>263.2716687823177</v>
      </c>
      <c r="E23" s="41">
        <v>21</v>
      </c>
      <c r="F23" s="79">
        <f t="shared" si="4"/>
        <v>1049.8563479049478</v>
      </c>
      <c r="G23" s="79">
        <f t="shared" si="0"/>
        <v>342.253169417013</v>
      </c>
      <c r="I23" s="211" t="s">
        <v>73</v>
      </c>
      <c r="J23" s="211"/>
      <c r="K23" s="212"/>
      <c r="L23" s="213">
        <v>0</v>
      </c>
      <c r="M23" s="8"/>
      <c r="N23" s="8"/>
    </row>
    <row r="24" spans="1:14" ht="15" customHeight="1" thickBot="1" x14ac:dyDescent="0.25">
      <c r="A24" s="41">
        <v>20</v>
      </c>
      <c r="B24" s="79">
        <f t="shared" si="1"/>
        <v>769.12552960069434</v>
      </c>
      <c r="C24" s="80">
        <f t="shared" si="2"/>
        <v>709.55357142857133</v>
      </c>
      <c r="D24" s="79">
        <f t="shared" si="3"/>
        <v>250.73492264982636</v>
      </c>
      <c r="E24" s="41">
        <v>20</v>
      </c>
      <c r="F24" s="79">
        <f t="shared" si="4"/>
        <v>999.86318848090264</v>
      </c>
      <c r="G24" s="79">
        <f t="shared" si="0"/>
        <v>325.95539944477429</v>
      </c>
      <c r="I24" s="211"/>
      <c r="J24" s="211"/>
      <c r="K24" s="212"/>
      <c r="L24" s="214"/>
      <c r="M24" s="8"/>
      <c r="N24" s="8"/>
    </row>
    <row r="25" spans="1:14" ht="15" customHeight="1" thickBot="1" x14ac:dyDescent="0.25">
      <c r="A25" s="41">
        <v>19</v>
      </c>
      <c r="B25" s="79">
        <f t="shared" si="1"/>
        <v>730.66925312065962</v>
      </c>
      <c r="C25" s="80">
        <f t="shared" si="2"/>
        <v>674.07589285714289</v>
      </c>
      <c r="D25" s="79">
        <f t="shared" si="3"/>
        <v>238.19817651733504</v>
      </c>
      <c r="E25" s="41">
        <v>19</v>
      </c>
      <c r="F25" s="79">
        <f t="shared" si="4"/>
        <v>949.87002905685767</v>
      </c>
      <c r="G25" s="79">
        <f t="shared" si="0"/>
        <v>309.65762947253563</v>
      </c>
      <c r="I25" s="37"/>
      <c r="J25" s="19"/>
      <c r="K25" s="8"/>
      <c r="L25" s="129"/>
      <c r="M25" s="8"/>
      <c r="N25" s="8"/>
    </row>
    <row r="26" spans="1:14" ht="15" customHeight="1" x14ac:dyDescent="0.2">
      <c r="A26" s="41">
        <v>18</v>
      </c>
      <c r="B26" s="79">
        <f t="shared" si="1"/>
        <v>692.2129766406249</v>
      </c>
      <c r="C26" s="80">
        <f t="shared" si="2"/>
        <v>638.59821428571422</v>
      </c>
      <c r="D26" s="79">
        <f t="shared" si="3"/>
        <v>225.66143038484373</v>
      </c>
      <c r="E26" s="41">
        <v>18</v>
      </c>
      <c r="F26" s="79">
        <f t="shared" si="4"/>
        <v>899.87686963281249</v>
      </c>
      <c r="G26" s="79">
        <f t="shared" si="0"/>
        <v>293.35985950029686</v>
      </c>
      <c r="I26" s="211" t="s">
        <v>78</v>
      </c>
      <c r="J26" s="211"/>
      <c r="K26" s="212"/>
      <c r="L26" s="215">
        <v>0</v>
      </c>
      <c r="M26" s="8"/>
      <c r="N26" s="8"/>
    </row>
    <row r="27" spans="1:14" ht="15" customHeight="1" thickBot="1" x14ac:dyDescent="0.25">
      <c r="A27" s="41">
        <v>17</v>
      </c>
      <c r="B27" s="79">
        <f t="shared" si="1"/>
        <v>653.75670016059019</v>
      </c>
      <c r="C27" s="80">
        <f t="shared" si="2"/>
        <v>603.12053571428578</v>
      </c>
      <c r="D27" s="79">
        <f t="shared" si="3"/>
        <v>213.12468425235241</v>
      </c>
      <c r="E27" s="41">
        <v>17</v>
      </c>
      <c r="F27" s="79">
        <f t="shared" si="4"/>
        <v>849.8837102087673</v>
      </c>
      <c r="G27" s="79">
        <f t="shared" si="0"/>
        <v>277.06208952805815</v>
      </c>
      <c r="I27" s="211"/>
      <c r="J27" s="211"/>
      <c r="K27" s="212"/>
      <c r="L27" s="216"/>
      <c r="M27" s="8"/>
      <c r="N27" s="8"/>
    </row>
    <row r="28" spans="1:14" ht="15" customHeight="1" thickBot="1" x14ac:dyDescent="0.25">
      <c r="A28" s="41">
        <v>16</v>
      </c>
      <c r="B28" s="79">
        <f t="shared" si="1"/>
        <v>615.30042368055547</v>
      </c>
      <c r="C28" s="80">
        <f t="shared" si="2"/>
        <v>567.64285714285711</v>
      </c>
      <c r="D28" s="79">
        <f t="shared" si="3"/>
        <v>200.58793811986109</v>
      </c>
      <c r="E28" s="41">
        <v>16</v>
      </c>
      <c r="F28" s="79">
        <f t="shared" si="4"/>
        <v>799.89055078472222</v>
      </c>
      <c r="G28" s="79">
        <f t="shared" si="0"/>
        <v>260.76431955581944</v>
      </c>
      <c r="I28" s="37"/>
      <c r="J28" s="19"/>
      <c r="K28" s="8"/>
      <c r="L28" s="129"/>
      <c r="M28" s="8"/>
      <c r="N28" s="8"/>
    </row>
    <row r="29" spans="1:14" ht="15" customHeight="1" x14ac:dyDescent="0.2">
      <c r="A29" s="41">
        <v>15</v>
      </c>
      <c r="B29" s="79">
        <f t="shared" si="1"/>
        <v>576.84414720052075</v>
      </c>
      <c r="C29" s="80">
        <f t="shared" si="2"/>
        <v>532.16517857142856</v>
      </c>
      <c r="D29" s="79">
        <f t="shared" si="3"/>
        <v>188.05119198736978</v>
      </c>
      <c r="E29" s="41">
        <v>15</v>
      </c>
      <c r="F29" s="79">
        <f t="shared" si="4"/>
        <v>749.89739136067715</v>
      </c>
      <c r="G29" s="79">
        <f t="shared" si="0"/>
        <v>244.46654958358076</v>
      </c>
      <c r="I29" s="217" t="s">
        <v>74</v>
      </c>
      <c r="J29" s="218"/>
      <c r="K29" s="218"/>
      <c r="L29" s="219"/>
      <c r="M29" s="8"/>
      <c r="N29" s="8"/>
    </row>
    <row r="30" spans="1:14" ht="15" customHeight="1" thickBot="1" x14ac:dyDescent="0.25">
      <c r="A30" s="41">
        <v>14</v>
      </c>
      <c r="B30" s="79">
        <f t="shared" si="1"/>
        <v>538.38787072048603</v>
      </c>
      <c r="C30" s="80">
        <f t="shared" si="2"/>
        <v>496.6875</v>
      </c>
      <c r="D30" s="79">
        <f t="shared" si="3"/>
        <v>175.51444585487846</v>
      </c>
      <c r="E30" s="41">
        <v>14</v>
      </c>
      <c r="F30" s="79">
        <f t="shared" si="4"/>
        <v>699.90423193663196</v>
      </c>
      <c r="G30" s="79">
        <f t="shared" si="0"/>
        <v>228.16877961134202</v>
      </c>
      <c r="I30" s="220"/>
      <c r="J30" s="221"/>
      <c r="K30" s="221"/>
      <c r="L30" s="222"/>
      <c r="M30" s="8"/>
      <c r="N30" s="8"/>
    </row>
    <row r="31" spans="1:14" ht="15" customHeight="1" thickBot="1" x14ac:dyDescent="0.25">
      <c r="A31" s="41">
        <v>13</v>
      </c>
      <c r="B31" s="79">
        <f t="shared" si="1"/>
        <v>499.93159424045132</v>
      </c>
      <c r="C31" s="80">
        <f t="shared" si="2"/>
        <v>461.20982142857144</v>
      </c>
      <c r="D31" s="79">
        <f t="shared" si="3"/>
        <v>162.97769972238714</v>
      </c>
      <c r="E31" s="41">
        <v>13</v>
      </c>
      <c r="F31" s="79">
        <f t="shared" si="4"/>
        <v>649.91107251258677</v>
      </c>
      <c r="G31" s="79">
        <f t="shared" si="0"/>
        <v>211.87100963910331</v>
      </c>
      <c r="I31" s="156" t="s">
        <v>79</v>
      </c>
      <c r="J31" s="154" t="s">
        <v>63</v>
      </c>
      <c r="K31" s="152" t="s">
        <v>80</v>
      </c>
      <c r="L31" s="136" t="s">
        <v>65</v>
      </c>
      <c r="M31" s="8"/>
      <c r="N31" s="8"/>
    </row>
    <row r="32" spans="1:14" ht="15" customHeight="1" x14ac:dyDescent="0.2">
      <c r="A32" s="41">
        <v>12</v>
      </c>
      <c r="B32" s="79">
        <f t="shared" si="1"/>
        <v>461.4753177604166</v>
      </c>
      <c r="C32" s="80">
        <f t="shared" si="2"/>
        <v>425.73214285714289</v>
      </c>
      <c r="D32" s="79">
        <f t="shared" si="3"/>
        <v>150.44095358989583</v>
      </c>
      <c r="E32" s="41">
        <v>12</v>
      </c>
      <c r="F32" s="79">
        <f t="shared" si="4"/>
        <v>599.91791308854158</v>
      </c>
      <c r="G32" s="79">
        <f t="shared" si="0"/>
        <v>195.57323966686457</v>
      </c>
      <c r="I32" s="203">
        <f>((L23/40*7.5*5)/7)*30*$C$46</f>
        <v>0</v>
      </c>
      <c r="J32" s="205">
        <f>IF(L26&lt;I32,I32,L26)</f>
        <v>0</v>
      </c>
      <c r="K32" s="207">
        <v>32.6</v>
      </c>
      <c r="L32" s="209">
        <f>J32*K32%</f>
        <v>0</v>
      </c>
      <c r="M32" s="8"/>
      <c r="N32" s="8"/>
    </row>
    <row r="33" spans="1:14" ht="15" customHeight="1" thickBot="1" x14ac:dyDescent="0.25">
      <c r="A33" s="41">
        <v>11</v>
      </c>
      <c r="B33" s="79">
        <f t="shared" si="1"/>
        <v>423.01904128038188</v>
      </c>
      <c r="C33" s="80">
        <f t="shared" si="2"/>
        <v>390.25446428571433</v>
      </c>
      <c r="D33" s="79">
        <f t="shared" si="3"/>
        <v>137.90420745740451</v>
      </c>
      <c r="E33" s="41">
        <v>11</v>
      </c>
      <c r="F33" s="79">
        <f t="shared" si="4"/>
        <v>549.92475366449651</v>
      </c>
      <c r="G33" s="79">
        <f t="shared" si="0"/>
        <v>179.27546969462585</v>
      </c>
      <c r="I33" s="204"/>
      <c r="J33" s="206"/>
      <c r="K33" s="208"/>
      <c r="L33" s="210"/>
      <c r="M33" s="8"/>
      <c r="N33" s="8"/>
    </row>
    <row r="34" spans="1:14" ht="15" customHeight="1" thickBot="1" x14ac:dyDescent="0.25">
      <c r="A34" s="41">
        <v>10</v>
      </c>
      <c r="B34" s="79">
        <f t="shared" si="1"/>
        <v>384.56276480034717</v>
      </c>
      <c r="C34" s="80">
        <f t="shared" si="2"/>
        <v>354.77678571428567</v>
      </c>
      <c r="D34" s="79">
        <f t="shared" si="3"/>
        <v>125.36746132491318</v>
      </c>
      <c r="E34" s="41">
        <v>10</v>
      </c>
      <c r="F34" s="79">
        <f t="shared" si="4"/>
        <v>499.93159424045132</v>
      </c>
      <c r="G34" s="79">
        <f t="shared" si="0"/>
        <v>162.97769972238714</v>
      </c>
      <c r="I34" s="198" t="s">
        <v>75</v>
      </c>
      <c r="J34" s="199"/>
      <c r="K34" s="200"/>
      <c r="L34" s="147">
        <f>SUM(L32)</f>
        <v>0</v>
      </c>
      <c r="M34" s="8"/>
      <c r="N34" s="8"/>
    </row>
    <row r="35" spans="1:14" ht="15" customHeight="1" x14ac:dyDescent="0.2">
      <c r="A35" s="41">
        <v>9</v>
      </c>
      <c r="B35" s="79">
        <f t="shared" si="1"/>
        <v>346.10648832031245</v>
      </c>
      <c r="C35" s="80">
        <f t="shared" si="2"/>
        <v>319.29910714285711</v>
      </c>
      <c r="D35" s="79">
        <f t="shared" si="3"/>
        <v>112.83071519242186</v>
      </c>
      <c r="E35" s="41">
        <v>9</v>
      </c>
      <c r="F35" s="79">
        <f t="shared" si="4"/>
        <v>449.93843481640624</v>
      </c>
      <c r="G35" s="79">
        <f t="shared" si="0"/>
        <v>146.67992975014843</v>
      </c>
      <c r="I35" s="37"/>
      <c r="J35" s="19"/>
      <c r="K35" s="8"/>
      <c r="L35" s="129"/>
      <c r="M35" s="8"/>
      <c r="N35" s="155"/>
    </row>
    <row r="36" spans="1:14" ht="15" customHeight="1" x14ac:dyDescent="0.2">
      <c r="A36" s="41">
        <v>8</v>
      </c>
      <c r="B36" s="79">
        <f t="shared" si="1"/>
        <v>307.65021184027773</v>
      </c>
      <c r="C36" s="80">
        <f t="shared" si="2"/>
        <v>283.82142857142856</v>
      </c>
      <c r="D36" s="79">
        <f t="shared" si="3"/>
        <v>100.29396905993055</v>
      </c>
      <c r="E36" s="41">
        <v>8</v>
      </c>
      <c r="F36" s="79">
        <f t="shared" si="4"/>
        <v>399.94527539236111</v>
      </c>
      <c r="G36" s="79">
        <f t="shared" si="0"/>
        <v>130.38215977790972</v>
      </c>
      <c r="I36" s="201" t="s">
        <v>77</v>
      </c>
      <c r="J36" s="201"/>
      <c r="K36" s="201"/>
      <c r="L36" s="201"/>
      <c r="M36" s="202" t="s">
        <v>76</v>
      </c>
      <c r="N36" s="155"/>
    </row>
    <row r="37" spans="1:14" ht="15" customHeight="1" x14ac:dyDescent="0.2">
      <c r="A37" s="41">
        <v>7</v>
      </c>
      <c r="B37" s="79">
        <f t="shared" si="1"/>
        <v>269.19393536024302</v>
      </c>
      <c r="C37" s="80">
        <f t="shared" si="2"/>
        <v>248.34375</v>
      </c>
      <c r="D37" s="79">
        <f t="shared" si="3"/>
        <v>87.75722292743923</v>
      </c>
      <c r="E37" s="41">
        <v>7</v>
      </c>
      <c r="F37" s="79">
        <f t="shared" si="4"/>
        <v>349.95211596831598</v>
      </c>
      <c r="G37" s="79">
        <f t="shared" si="0"/>
        <v>114.08438980567101</v>
      </c>
      <c r="I37" s="201"/>
      <c r="J37" s="201"/>
      <c r="K37" s="201"/>
      <c r="L37" s="201"/>
      <c r="M37" s="202"/>
      <c r="N37" s="155"/>
    </row>
    <row r="38" spans="1:14" ht="15" customHeight="1" x14ac:dyDescent="0.2">
      <c r="A38" s="41">
        <v>6</v>
      </c>
      <c r="B38" s="79">
        <f t="shared" si="1"/>
        <v>230.7376588802083</v>
      </c>
      <c r="C38" s="80">
        <f t="shared" si="2"/>
        <v>212.86607142857144</v>
      </c>
      <c r="D38" s="79">
        <f t="shared" si="3"/>
        <v>75.220476794947913</v>
      </c>
      <c r="E38" s="41">
        <v>6</v>
      </c>
      <c r="F38" s="79">
        <f t="shared" si="4"/>
        <v>299.95895654427079</v>
      </c>
      <c r="G38" s="79">
        <f t="shared" si="0"/>
        <v>97.786619833432283</v>
      </c>
      <c r="I38" s="5"/>
    </row>
    <row r="39" spans="1:14" ht="15" customHeight="1" x14ac:dyDescent="0.2">
      <c r="A39" s="41">
        <v>5</v>
      </c>
      <c r="B39" s="79">
        <f t="shared" si="1"/>
        <v>192.28138240017358</v>
      </c>
      <c r="C39" s="80">
        <f t="shared" si="2"/>
        <v>177.38839285714283</v>
      </c>
      <c r="D39" s="79">
        <f t="shared" si="3"/>
        <v>62.68373066245659</v>
      </c>
      <c r="E39" s="41">
        <v>5</v>
      </c>
      <c r="F39" s="79">
        <f t="shared" si="4"/>
        <v>249.96579712022566</v>
      </c>
      <c r="G39" s="79">
        <f t="shared" si="0"/>
        <v>81.488849861193572</v>
      </c>
      <c r="I39" s="5"/>
    </row>
    <row r="40" spans="1:14" ht="15" customHeight="1" x14ac:dyDescent="0.2">
      <c r="A40" s="41">
        <v>4</v>
      </c>
      <c r="B40" s="79">
        <f t="shared" si="1"/>
        <v>153.82510592013887</v>
      </c>
      <c r="C40" s="80">
        <f t="shared" si="2"/>
        <v>141.91071428571428</v>
      </c>
      <c r="D40" s="79">
        <f t="shared" si="3"/>
        <v>50.146984529965273</v>
      </c>
      <c r="E40" s="41">
        <v>4</v>
      </c>
      <c r="F40" s="79">
        <f t="shared" si="4"/>
        <v>199.97263769618056</v>
      </c>
      <c r="G40" s="79">
        <f t="shared" si="0"/>
        <v>65.19107988895486</v>
      </c>
      <c r="I40" s="5"/>
    </row>
    <row r="41" spans="1:14" ht="15" customHeight="1" x14ac:dyDescent="0.2">
      <c r="A41" s="41">
        <v>3</v>
      </c>
      <c r="B41" s="79">
        <f t="shared" si="1"/>
        <v>115.36882944010415</v>
      </c>
      <c r="C41" s="80">
        <f t="shared" si="2"/>
        <v>106.43303571428572</v>
      </c>
      <c r="D41" s="79">
        <f t="shared" si="3"/>
        <v>37.610238397473957</v>
      </c>
      <c r="E41" s="41">
        <v>3</v>
      </c>
      <c r="F41" s="79">
        <f t="shared" si="4"/>
        <v>149.9794782721354</v>
      </c>
      <c r="G41" s="79">
        <f t="shared" si="0"/>
        <v>48.893309916716142</v>
      </c>
      <c r="I41" s="5"/>
    </row>
    <row r="42" spans="1:14" ht="15" customHeight="1" x14ac:dyDescent="0.2">
      <c r="A42" s="41">
        <v>2</v>
      </c>
      <c r="B42" s="79">
        <f t="shared" si="1"/>
        <v>76.912552960069434</v>
      </c>
      <c r="C42" s="80">
        <f t="shared" si="2"/>
        <v>70.955357142857139</v>
      </c>
      <c r="D42" s="79">
        <f t="shared" si="3"/>
        <v>25.073492264982637</v>
      </c>
      <c r="E42" s="41">
        <v>2</v>
      </c>
      <c r="F42" s="79">
        <f t="shared" si="4"/>
        <v>99.986318848090278</v>
      </c>
      <c r="G42" s="79">
        <f t="shared" si="0"/>
        <v>32.59553994447743</v>
      </c>
      <c r="I42" s="5"/>
    </row>
    <row r="43" spans="1:14" ht="15" customHeight="1" x14ac:dyDescent="0.2">
      <c r="A43" s="42">
        <v>1</v>
      </c>
      <c r="B43" s="81">
        <f t="shared" si="1"/>
        <v>38.456276480034717</v>
      </c>
      <c r="C43" s="82">
        <f t="shared" si="2"/>
        <v>35.477678571428569</v>
      </c>
      <c r="D43" s="81">
        <f t="shared" si="3"/>
        <v>12.536746132491318</v>
      </c>
      <c r="E43" s="42">
        <v>1</v>
      </c>
      <c r="F43" s="81">
        <f t="shared" si="4"/>
        <v>49.993159424045139</v>
      </c>
      <c r="G43" s="81">
        <f t="shared" si="0"/>
        <v>16.297769972238715</v>
      </c>
      <c r="I43" s="5"/>
    </row>
    <row r="46" spans="1:14" s="8" customFormat="1" ht="26.25" hidden="1" thickBot="1" x14ac:dyDescent="0.25">
      <c r="A46" s="33"/>
      <c r="B46" s="113" t="s">
        <v>14</v>
      </c>
      <c r="C46" s="114">
        <v>8.83</v>
      </c>
      <c r="D46" s="115"/>
      <c r="E46" s="17"/>
      <c r="F46" s="115"/>
      <c r="G46" s="115"/>
      <c r="I46" s="19"/>
    </row>
  </sheetData>
  <sheetProtection algorithmName="SHA-512" hashValue="tDbMLj6ytwOPSMzcrRO6C/Miz+q7nDAMWz3PNmAraDgdch7SN0Y/BVVogXAwFjXrxVoaY5cfuQn+27yRfMJODA==" saltValue="FYULbvl7P9CwI+rBisqm2Q==" spinCount="100000" sheet="1" objects="1" scenarios="1"/>
  <protectedRanges>
    <protectedRange sqref="M36" name="CALCULO RC"/>
    <protectedRange sqref="L26" name="RET TP"/>
    <protectedRange sqref="L23" name="DED"/>
    <protectedRange sqref="L8" name="RET TC"/>
  </protectedRanges>
  <mergeCells count="35">
    <mergeCell ref="I34:K34"/>
    <mergeCell ref="I36:L37"/>
    <mergeCell ref="M36:M37"/>
    <mergeCell ref="I29:L30"/>
    <mergeCell ref="I32:I33"/>
    <mergeCell ref="J32:J33"/>
    <mergeCell ref="K32:K33"/>
    <mergeCell ref="L32:L33"/>
    <mergeCell ref="I20:N21"/>
    <mergeCell ref="I23:K24"/>
    <mergeCell ref="L23:L24"/>
    <mergeCell ref="I26:K27"/>
    <mergeCell ref="L26:L27"/>
    <mergeCell ref="I16:I17"/>
    <mergeCell ref="J16:J17"/>
    <mergeCell ref="K16:K17"/>
    <mergeCell ref="L16:L17"/>
    <mergeCell ref="I18:J18"/>
    <mergeCell ref="I8:K9"/>
    <mergeCell ref="L8:L9"/>
    <mergeCell ref="I11:L12"/>
    <mergeCell ref="I14:I15"/>
    <mergeCell ref="J14:J15"/>
    <mergeCell ref="K14:K15"/>
    <mergeCell ref="L14:L15"/>
    <mergeCell ref="I4:I5"/>
    <mergeCell ref="J4:J5"/>
    <mergeCell ref="K4:K5"/>
    <mergeCell ref="L4:L5"/>
    <mergeCell ref="M4:M5"/>
    <mergeCell ref="A1:G1"/>
    <mergeCell ref="B2:D2"/>
    <mergeCell ref="F2:G2"/>
    <mergeCell ref="I2:K2"/>
    <mergeCell ref="L2:M2"/>
  </mergeCells>
  <hyperlinks>
    <hyperlink ref="M36:M37" r:id="rId1" display="CALCULO RC"/>
  </hyperlinks>
  <pageMargins left="0.94488188976377963" right="0.94488188976377963" top="0" bottom="0.39370078740157483" header="0" footer="0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10" zoomScaleNormal="100" workbookViewId="0">
      <selection activeCell="G34" sqref="G34"/>
    </sheetView>
  </sheetViews>
  <sheetFormatPr baseColWidth="10" defaultColWidth="11.5703125" defaultRowHeight="14.25" x14ac:dyDescent="0.2"/>
  <cols>
    <col min="1" max="1" width="18.42578125" style="4" customWidth="1"/>
    <col min="2" max="2" width="24.85546875" style="4" customWidth="1"/>
    <col min="3" max="3" width="16.7109375" style="6" hidden="1" customWidth="1"/>
    <col min="4" max="4" width="18.42578125" style="4" customWidth="1"/>
    <col min="5" max="5" width="18.42578125" style="5" customWidth="1"/>
    <col min="6" max="6" width="24.85546875" style="4" customWidth="1"/>
    <col min="7" max="7" width="18.42578125" style="4" customWidth="1"/>
    <col min="8" max="8" width="11.5703125" style="5"/>
    <col min="9" max="9" width="17.85546875" style="7" customWidth="1"/>
    <col min="10" max="10" width="18.7109375" style="5" customWidth="1"/>
    <col min="11" max="11" width="19.42578125" style="5" customWidth="1"/>
    <col min="12" max="12" width="16" style="5" customWidth="1"/>
    <col min="13" max="13" width="14.42578125" style="5" customWidth="1"/>
    <col min="14" max="14" width="13.140625" style="5" bestFit="1" customWidth="1"/>
    <col min="15" max="16384" width="11.5703125" style="5"/>
  </cols>
  <sheetData>
    <row r="1" spans="1:14" s="8" customFormat="1" ht="65.25" customHeight="1" x14ac:dyDescent="0.2">
      <c r="A1" s="233" t="s">
        <v>52</v>
      </c>
      <c r="B1" s="234"/>
      <c r="C1" s="234"/>
      <c r="D1" s="234"/>
      <c r="E1" s="234"/>
      <c r="F1" s="234"/>
      <c r="G1" s="234"/>
      <c r="K1" s="19"/>
    </row>
    <row r="2" spans="1:14" s="38" customFormat="1" ht="24.75" customHeight="1" x14ac:dyDescent="0.2">
      <c r="A2" s="47"/>
      <c r="B2" s="270" t="s">
        <v>47</v>
      </c>
      <c r="C2" s="270"/>
      <c r="D2" s="271"/>
      <c r="E2" s="45"/>
      <c r="F2" s="270" t="s">
        <v>48</v>
      </c>
      <c r="G2" s="271"/>
      <c r="I2" s="235" t="s">
        <v>58</v>
      </c>
      <c r="J2" s="235"/>
      <c r="K2" s="235"/>
      <c r="L2" s="235" t="s">
        <v>62</v>
      </c>
      <c r="M2" s="235"/>
    </row>
    <row r="3" spans="1:14" s="27" customFormat="1" ht="38.25" x14ac:dyDescent="0.2">
      <c r="A3" s="46" t="s">
        <v>45</v>
      </c>
      <c r="B3" s="71" t="s">
        <v>46</v>
      </c>
      <c r="C3" s="72" t="s">
        <v>15</v>
      </c>
      <c r="D3" s="73" t="s">
        <v>50</v>
      </c>
      <c r="E3" s="43" t="s">
        <v>45</v>
      </c>
      <c r="F3" s="71" t="s">
        <v>46</v>
      </c>
      <c r="G3" s="73" t="s">
        <v>51</v>
      </c>
      <c r="I3" s="141" t="s">
        <v>57</v>
      </c>
      <c r="J3" s="141" t="s">
        <v>68</v>
      </c>
      <c r="K3" s="141" t="s">
        <v>69</v>
      </c>
      <c r="L3" s="142" t="s">
        <v>60</v>
      </c>
      <c r="M3" s="141" t="s">
        <v>61</v>
      </c>
    </row>
    <row r="4" spans="1:14" ht="15" customHeight="1" x14ac:dyDescent="0.2">
      <c r="A4" s="40">
        <v>40</v>
      </c>
      <c r="B4" s="77">
        <f>PARAMETROS!B6</f>
        <v>1447.7657027777777</v>
      </c>
      <c r="C4" s="78"/>
      <c r="D4" s="77"/>
      <c r="E4" s="40">
        <v>40</v>
      </c>
      <c r="F4" s="77">
        <f>PARAMETROS!C6</f>
        <v>1882.0954136111109</v>
      </c>
      <c r="G4" s="77">
        <f>IF(F4&gt;$K$4,$K$4*$K$18%,F4*$K$18%)</f>
        <v>613.56310483722211</v>
      </c>
      <c r="I4" s="236">
        <v>1</v>
      </c>
      <c r="J4" s="237">
        <v>1466.4</v>
      </c>
      <c r="K4" s="237">
        <v>4070.1</v>
      </c>
      <c r="L4" s="240">
        <v>1050</v>
      </c>
      <c r="M4" s="240">
        <v>4070.1</v>
      </c>
      <c r="N4" s="8"/>
    </row>
    <row r="5" spans="1:14" ht="15" customHeight="1" x14ac:dyDescent="0.2">
      <c r="A5" s="41">
        <v>39</v>
      </c>
      <c r="B5" s="79">
        <f>PRODUCT(B$4,A5)/A$4</f>
        <v>1411.5715602083333</v>
      </c>
      <c r="C5" s="80">
        <f>(A5/$A$4*7.5*5)/7*30*$C$46</f>
        <v>1383.6294642857142</v>
      </c>
      <c r="D5" s="79">
        <f>IF(B5&lt;C5,C5*$K$18%,B5*$K$18%)</f>
        <v>460.17232862791667</v>
      </c>
      <c r="E5" s="41">
        <v>39</v>
      </c>
      <c r="F5" s="79">
        <f>PRODUCT(F$4,E5)/E$4</f>
        <v>1835.043028270833</v>
      </c>
      <c r="G5" s="79">
        <f t="shared" ref="G5:G43" si="0">IF(F5&gt;$K$4,$K$4*$K$18%,F5*$K$18%)</f>
        <v>598.22402721629157</v>
      </c>
      <c r="I5" s="236"/>
      <c r="J5" s="237"/>
      <c r="K5" s="237"/>
      <c r="L5" s="240"/>
      <c r="M5" s="240"/>
      <c r="N5" s="8"/>
    </row>
    <row r="6" spans="1:14" ht="15" customHeight="1" x14ac:dyDescent="0.2">
      <c r="A6" s="41">
        <v>38</v>
      </c>
      <c r="B6" s="79">
        <f t="shared" ref="B6:B43" si="1">PRODUCT(B$4,A6)/A$4</f>
        <v>1375.3774176388888</v>
      </c>
      <c r="C6" s="80">
        <f t="shared" ref="C6:C43" si="2">(A6/$A$4*7.5*5)/7*30*$C$46</f>
        <v>1348.1517857142858</v>
      </c>
      <c r="D6" s="79">
        <f t="shared" ref="D6:D43" si="3">IF(B6&lt;C6,C6*$K$18%,B6*$K$18%)</f>
        <v>448.37303815027775</v>
      </c>
      <c r="E6" s="41">
        <v>38</v>
      </c>
      <c r="F6" s="79">
        <f t="shared" ref="F6:F43" si="4">PRODUCT(F$4,E6)/E$4</f>
        <v>1787.9906429305552</v>
      </c>
      <c r="G6" s="79">
        <f t="shared" si="0"/>
        <v>582.88494959536104</v>
      </c>
      <c r="I6" s="37"/>
      <c r="J6" s="8"/>
      <c r="K6" s="8"/>
      <c r="L6" s="129"/>
      <c r="M6" s="8"/>
      <c r="N6" s="8"/>
    </row>
    <row r="7" spans="1:14" ht="15" customHeight="1" thickBot="1" x14ac:dyDescent="0.25">
      <c r="A7" s="41">
        <v>37</v>
      </c>
      <c r="B7" s="79">
        <f t="shared" si="1"/>
        <v>1339.1832750694443</v>
      </c>
      <c r="C7" s="80">
        <f t="shared" si="2"/>
        <v>1312.6741071428573</v>
      </c>
      <c r="D7" s="79">
        <f t="shared" si="3"/>
        <v>436.57374767263889</v>
      </c>
      <c r="E7" s="41">
        <v>37</v>
      </c>
      <c r="F7" s="79">
        <f t="shared" si="4"/>
        <v>1740.9382575902775</v>
      </c>
      <c r="G7" s="79">
        <f t="shared" si="0"/>
        <v>567.5458719744305</v>
      </c>
      <c r="I7" s="37"/>
      <c r="J7" s="19"/>
      <c r="K7" s="8"/>
      <c r="L7" s="129"/>
      <c r="M7" s="8"/>
      <c r="N7" s="8"/>
    </row>
    <row r="8" spans="1:14" ht="15" customHeight="1" x14ac:dyDescent="0.2">
      <c r="A8" s="41">
        <v>36</v>
      </c>
      <c r="B8" s="79">
        <f t="shared" si="1"/>
        <v>1302.9891325000001</v>
      </c>
      <c r="C8" s="80">
        <f t="shared" si="2"/>
        <v>1277.1964285714284</v>
      </c>
      <c r="D8" s="79">
        <f t="shared" si="3"/>
        <v>424.77445719500002</v>
      </c>
      <c r="E8" s="41">
        <v>36</v>
      </c>
      <c r="F8" s="79">
        <f t="shared" si="4"/>
        <v>1693.8858722499997</v>
      </c>
      <c r="G8" s="79">
        <f t="shared" si="0"/>
        <v>552.20679435349996</v>
      </c>
      <c r="I8" s="211" t="s">
        <v>72</v>
      </c>
      <c r="J8" s="211"/>
      <c r="K8" s="212"/>
      <c r="L8" s="215">
        <v>1447.77</v>
      </c>
      <c r="M8" s="8"/>
      <c r="N8" s="175"/>
    </row>
    <row r="9" spans="1:14" ht="15" customHeight="1" thickBot="1" x14ac:dyDescent="0.25">
      <c r="A9" s="41">
        <v>35</v>
      </c>
      <c r="B9" s="79">
        <f t="shared" si="1"/>
        <v>1266.7949899305554</v>
      </c>
      <c r="C9" s="80">
        <f t="shared" si="2"/>
        <v>1241.71875</v>
      </c>
      <c r="D9" s="79">
        <f t="shared" si="3"/>
        <v>412.97516671736105</v>
      </c>
      <c r="E9" s="41">
        <v>35</v>
      </c>
      <c r="F9" s="79">
        <f t="shared" si="4"/>
        <v>1646.8334869097221</v>
      </c>
      <c r="G9" s="79">
        <f t="shared" si="0"/>
        <v>536.86771673256942</v>
      </c>
      <c r="I9" s="211"/>
      <c r="J9" s="211"/>
      <c r="K9" s="212"/>
      <c r="L9" s="216"/>
      <c r="M9" s="8"/>
      <c r="N9" s="8"/>
    </row>
    <row r="10" spans="1:14" ht="15" customHeight="1" thickBot="1" x14ac:dyDescent="0.25">
      <c r="A10" s="41">
        <v>34</v>
      </c>
      <c r="B10" s="79">
        <f t="shared" si="1"/>
        <v>1230.6008473611112</v>
      </c>
      <c r="C10" s="80">
        <f t="shared" si="2"/>
        <v>1206.2410714285716</v>
      </c>
      <c r="D10" s="79">
        <f t="shared" si="3"/>
        <v>401.17587623972224</v>
      </c>
      <c r="E10" s="41">
        <v>34</v>
      </c>
      <c r="F10" s="79">
        <f t="shared" si="4"/>
        <v>1599.7811015694442</v>
      </c>
      <c r="G10" s="79">
        <f t="shared" si="0"/>
        <v>521.52863911163888</v>
      </c>
      <c r="I10" s="137"/>
      <c r="J10" s="138"/>
      <c r="K10" s="139"/>
      <c r="L10" s="140"/>
      <c r="M10" s="8"/>
      <c r="N10" s="8"/>
    </row>
    <row r="11" spans="1:14" ht="15" customHeight="1" x14ac:dyDescent="0.2">
      <c r="A11" s="41">
        <v>33</v>
      </c>
      <c r="B11" s="79">
        <f t="shared" si="1"/>
        <v>1194.4067047916665</v>
      </c>
      <c r="C11" s="80">
        <f t="shared" si="2"/>
        <v>1170.7633928571427</v>
      </c>
      <c r="D11" s="79">
        <f t="shared" si="3"/>
        <v>389.37658576208327</v>
      </c>
      <c r="E11" s="41">
        <v>33</v>
      </c>
      <c r="F11" s="79">
        <f t="shared" si="4"/>
        <v>1552.7287162291664</v>
      </c>
      <c r="G11" s="79">
        <f t="shared" si="0"/>
        <v>506.18956149070823</v>
      </c>
      <c r="I11" s="217" t="s">
        <v>70</v>
      </c>
      <c r="J11" s="218"/>
      <c r="K11" s="218"/>
      <c r="L11" s="219"/>
      <c r="M11" s="8"/>
      <c r="N11" s="8"/>
    </row>
    <row r="12" spans="1:14" ht="15" customHeight="1" thickBot="1" x14ac:dyDescent="0.25">
      <c r="A12" s="41">
        <v>32</v>
      </c>
      <c r="B12" s="79">
        <f t="shared" si="1"/>
        <v>1158.2125622222222</v>
      </c>
      <c r="C12" s="80">
        <f t="shared" si="2"/>
        <v>1135.2857142857142</v>
      </c>
      <c r="D12" s="79">
        <f t="shared" si="3"/>
        <v>377.57729528444446</v>
      </c>
      <c r="E12" s="41">
        <v>32</v>
      </c>
      <c r="F12" s="79">
        <f t="shared" si="4"/>
        <v>1505.6763308888887</v>
      </c>
      <c r="G12" s="79">
        <f t="shared" si="0"/>
        <v>490.85048386977775</v>
      </c>
      <c r="I12" s="220"/>
      <c r="J12" s="221"/>
      <c r="K12" s="221"/>
      <c r="L12" s="222"/>
      <c r="M12" s="8"/>
      <c r="N12" s="8"/>
    </row>
    <row r="13" spans="1:14" ht="15" customHeight="1" thickBot="1" x14ac:dyDescent="0.25">
      <c r="A13" s="41">
        <v>31</v>
      </c>
      <c r="B13" s="79">
        <f t="shared" si="1"/>
        <v>1122.0184196527778</v>
      </c>
      <c r="C13" s="80">
        <f t="shared" si="2"/>
        <v>1099.8080357142858</v>
      </c>
      <c r="D13" s="79">
        <f t="shared" si="3"/>
        <v>365.77800480680554</v>
      </c>
      <c r="E13" s="41">
        <v>31</v>
      </c>
      <c r="F13" s="79">
        <f t="shared" si="4"/>
        <v>1458.6239455486109</v>
      </c>
      <c r="G13" s="79">
        <f t="shared" si="0"/>
        <v>475.51140624884715</v>
      </c>
      <c r="I13" s="134"/>
      <c r="J13" s="135" t="s">
        <v>63</v>
      </c>
      <c r="K13" s="152" t="s">
        <v>64</v>
      </c>
      <c r="L13" s="136" t="s">
        <v>65</v>
      </c>
      <c r="M13" s="8"/>
      <c r="N13" s="8"/>
    </row>
    <row r="14" spans="1:14" ht="15" customHeight="1" x14ac:dyDescent="0.2">
      <c r="A14" s="41">
        <v>30</v>
      </c>
      <c r="B14" s="79">
        <f t="shared" si="1"/>
        <v>1085.8242770833333</v>
      </c>
      <c r="C14" s="80">
        <f t="shared" si="2"/>
        <v>1064.3303571428571</v>
      </c>
      <c r="D14" s="79">
        <f t="shared" si="3"/>
        <v>353.97871432916668</v>
      </c>
      <c r="E14" s="41">
        <v>30</v>
      </c>
      <c r="F14" s="79">
        <f t="shared" si="4"/>
        <v>1411.5715602083333</v>
      </c>
      <c r="G14" s="79">
        <f t="shared" si="0"/>
        <v>460.17232862791667</v>
      </c>
      <c r="I14" s="243" t="s">
        <v>66</v>
      </c>
      <c r="J14" s="223">
        <f>IF(L8&gt;=J4,L8,J4)</f>
        <v>1466.4</v>
      </c>
      <c r="K14" s="225">
        <v>23.6</v>
      </c>
      <c r="L14" s="230">
        <f>J14*K14%</f>
        <v>346.07040000000006</v>
      </c>
      <c r="M14" s="8"/>
      <c r="N14" s="8"/>
    </row>
    <row r="15" spans="1:14" ht="15" customHeight="1" thickBot="1" x14ac:dyDescent="0.25">
      <c r="A15" s="41">
        <v>29</v>
      </c>
      <c r="B15" s="79">
        <f t="shared" si="1"/>
        <v>1049.6301345138888</v>
      </c>
      <c r="C15" s="80">
        <f t="shared" si="2"/>
        <v>1028.8526785714287</v>
      </c>
      <c r="D15" s="79">
        <f t="shared" si="3"/>
        <v>342.17942385152776</v>
      </c>
      <c r="E15" s="41">
        <v>29</v>
      </c>
      <c r="F15" s="79">
        <f t="shared" si="4"/>
        <v>1364.5191748680554</v>
      </c>
      <c r="G15" s="79">
        <f t="shared" si="0"/>
        <v>444.83325100698607</v>
      </c>
      <c r="I15" s="244"/>
      <c r="J15" s="224"/>
      <c r="K15" s="226"/>
      <c r="L15" s="231"/>
      <c r="M15" s="8"/>
      <c r="N15" s="8"/>
    </row>
    <row r="16" spans="1:14" ht="15" customHeight="1" x14ac:dyDescent="0.2">
      <c r="A16" s="41">
        <v>28</v>
      </c>
      <c r="B16" s="79">
        <f t="shared" si="1"/>
        <v>1013.4359919444444</v>
      </c>
      <c r="C16" s="80">
        <f t="shared" si="2"/>
        <v>993.375</v>
      </c>
      <c r="D16" s="79">
        <f t="shared" si="3"/>
        <v>330.3801333738889</v>
      </c>
      <c r="E16" s="41">
        <v>28</v>
      </c>
      <c r="F16" s="79">
        <f t="shared" si="4"/>
        <v>1317.4667895277776</v>
      </c>
      <c r="G16" s="79">
        <f t="shared" si="0"/>
        <v>429.49417338605548</v>
      </c>
      <c r="I16" s="228" t="s">
        <v>67</v>
      </c>
      <c r="J16" s="223">
        <f>IF(L8&gt;=L4,L8,L4)</f>
        <v>1447.77</v>
      </c>
      <c r="K16" s="225">
        <v>9</v>
      </c>
      <c r="L16" s="209">
        <f>J16*K16%</f>
        <v>130.29929999999999</v>
      </c>
      <c r="M16" s="8"/>
      <c r="N16" s="8"/>
    </row>
    <row r="17" spans="1:14" ht="15" customHeight="1" thickBot="1" x14ac:dyDescent="0.25">
      <c r="A17" s="41">
        <v>27</v>
      </c>
      <c r="B17" s="79">
        <f t="shared" si="1"/>
        <v>977.2418493749999</v>
      </c>
      <c r="C17" s="80">
        <f t="shared" si="2"/>
        <v>957.89732142857133</v>
      </c>
      <c r="D17" s="79">
        <f t="shared" si="3"/>
        <v>318.58084289624998</v>
      </c>
      <c r="E17" s="41">
        <v>27</v>
      </c>
      <c r="F17" s="79">
        <f t="shared" si="4"/>
        <v>1270.4144041874999</v>
      </c>
      <c r="G17" s="79">
        <f t="shared" si="0"/>
        <v>414.155095765125</v>
      </c>
      <c r="I17" s="229"/>
      <c r="J17" s="224"/>
      <c r="K17" s="226">
        <v>0.2</v>
      </c>
      <c r="L17" s="227"/>
      <c r="M17" s="8"/>
      <c r="N17" s="8"/>
    </row>
    <row r="18" spans="1:14" ht="15" customHeight="1" thickBot="1" x14ac:dyDescent="0.25">
      <c r="A18" s="41">
        <v>26</v>
      </c>
      <c r="B18" s="79">
        <f t="shared" si="1"/>
        <v>941.04770680555555</v>
      </c>
      <c r="C18" s="80">
        <f t="shared" si="2"/>
        <v>922.41964285714289</v>
      </c>
      <c r="D18" s="79">
        <f t="shared" si="3"/>
        <v>306.78155241861111</v>
      </c>
      <c r="E18" s="41">
        <v>26</v>
      </c>
      <c r="F18" s="79">
        <f t="shared" si="4"/>
        <v>1223.3620188472221</v>
      </c>
      <c r="G18" s="79">
        <f t="shared" si="0"/>
        <v>398.8160181441944</v>
      </c>
      <c r="I18" s="241" t="s">
        <v>71</v>
      </c>
      <c r="J18" s="242"/>
      <c r="K18" s="153">
        <f>(K14+K16)</f>
        <v>32.6</v>
      </c>
      <c r="L18" s="147">
        <f>SUM(L14:L17)</f>
        <v>476.36970000000008</v>
      </c>
      <c r="M18" s="8"/>
      <c r="N18" s="8"/>
    </row>
    <row r="19" spans="1:14" ht="15" customHeight="1" x14ac:dyDescent="0.2">
      <c r="A19" s="41">
        <v>25</v>
      </c>
      <c r="B19" s="79">
        <f t="shared" si="1"/>
        <v>904.85356423611097</v>
      </c>
      <c r="C19" s="80">
        <f t="shared" si="2"/>
        <v>886.94196428571422</v>
      </c>
      <c r="D19" s="79">
        <f t="shared" si="3"/>
        <v>294.98226194097219</v>
      </c>
      <c r="E19" s="41">
        <v>25</v>
      </c>
      <c r="F19" s="79">
        <f t="shared" si="4"/>
        <v>1176.3096335069445</v>
      </c>
      <c r="G19" s="79">
        <f t="shared" si="0"/>
        <v>383.47694052326392</v>
      </c>
      <c r="I19" s="143"/>
      <c r="J19" s="144"/>
      <c r="K19" s="145"/>
      <c r="L19" s="146"/>
      <c r="M19" s="8"/>
      <c r="N19" s="8"/>
    </row>
    <row r="20" spans="1:14" ht="15" customHeight="1" x14ac:dyDescent="0.2">
      <c r="A20" s="41">
        <v>24</v>
      </c>
      <c r="B20" s="79">
        <f t="shared" si="1"/>
        <v>868.65942166666662</v>
      </c>
      <c r="C20" s="80">
        <f t="shared" si="2"/>
        <v>851.46428571428578</v>
      </c>
      <c r="D20" s="79">
        <f t="shared" si="3"/>
        <v>283.18297146333333</v>
      </c>
      <c r="E20" s="41">
        <v>24</v>
      </c>
      <c r="F20" s="79">
        <f t="shared" si="4"/>
        <v>1129.2572481666666</v>
      </c>
      <c r="G20" s="79">
        <f t="shared" si="0"/>
        <v>368.13786290233332</v>
      </c>
      <c r="I20" s="245" t="s">
        <v>89</v>
      </c>
      <c r="J20" s="245"/>
      <c r="K20" s="245"/>
      <c r="L20" s="245"/>
      <c r="M20" s="245"/>
      <c r="N20" s="245"/>
    </row>
    <row r="21" spans="1:14" ht="15" customHeight="1" x14ac:dyDescent="0.2">
      <c r="A21" s="41">
        <v>23</v>
      </c>
      <c r="B21" s="79">
        <f t="shared" si="1"/>
        <v>832.46527909722226</v>
      </c>
      <c r="C21" s="80">
        <f t="shared" si="2"/>
        <v>815.98660714285711</v>
      </c>
      <c r="D21" s="79">
        <f t="shared" si="3"/>
        <v>271.38368098569447</v>
      </c>
      <c r="E21" s="41">
        <v>23</v>
      </c>
      <c r="F21" s="79">
        <f t="shared" si="4"/>
        <v>1082.2048628263888</v>
      </c>
      <c r="G21" s="79">
        <f t="shared" si="0"/>
        <v>352.79878528140273</v>
      </c>
      <c r="I21" s="245"/>
      <c r="J21" s="245"/>
      <c r="K21" s="245"/>
      <c r="L21" s="245"/>
      <c r="M21" s="245"/>
      <c r="N21" s="245"/>
    </row>
    <row r="22" spans="1:14" ht="15" customHeight="1" thickBot="1" x14ac:dyDescent="0.25">
      <c r="A22" s="41">
        <v>22</v>
      </c>
      <c r="B22" s="79">
        <f t="shared" si="1"/>
        <v>796.27113652777768</v>
      </c>
      <c r="C22" s="80">
        <f t="shared" si="2"/>
        <v>780.50892857142867</v>
      </c>
      <c r="D22" s="79">
        <f t="shared" si="3"/>
        <v>259.58439050805555</v>
      </c>
      <c r="E22" s="41">
        <v>22</v>
      </c>
      <c r="F22" s="79">
        <f t="shared" si="4"/>
        <v>1035.1524774861109</v>
      </c>
      <c r="G22" s="79">
        <f t="shared" si="0"/>
        <v>337.45970766047219</v>
      </c>
      <c r="I22" s="37"/>
      <c r="J22" s="19"/>
      <c r="K22" s="8"/>
      <c r="L22" s="129"/>
      <c r="M22" s="8"/>
      <c r="N22" s="8"/>
    </row>
    <row r="23" spans="1:14" ht="15" customHeight="1" x14ac:dyDescent="0.2">
      <c r="A23" s="41">
        <v>21</v>
      </c>
      <c r="B23" s="79">
        <f t="shared" si="1"/>
        <v>760.07699395833333</v>
      </c>
      <c r="C23" s="80">
        <f t="shared" si="2"/>
        <v>745.03125</v>
      </c>
      <c r="D23" s="79">
        <f t="shared" si="3"/>
        <v>247.78510003041669</v>
      </c>
      <c r="E23" s="41">
        <v>21</v>
      </c>
      <c r="F23" s="79">
        <f t="shared" si="4"/>
        <v>988.10009214583317</v>
      </c>
      <c r="G23" s="79">
        <f t="shared" si="0"/>
        <v>322.12063003954165</v>
      </c>
      <c r="I23" s="211" t="s">
        <v>73</v>
      </c>
      <c r="J23" s="211"/>
      <c r="K23" s="212"/>
      <c r="L23" s="213">
        <v>0</v>
      </c>
      <c r="M23" s="8"/>
      <c r="N23" s="8"/>
    </row>
    <row r="24" spans="1:14" ht="15" customHeight="1" thickBot="1" x14ac:dyDescent="0.25">
      <c r="A24" s="41">
        <v>20</v>
      </c>
      <c r="B24" s="79">
        <f t="shared" si="1"/>
        <v>723.88285138888887</v>
      </c>
      <c r="C24" s="80">
        <f t="shared" si="2"/>
        <v>709.55357142857133</v>
      </c>
      <c r="D24" s="79">
        <f t="shared" si="3"/>
        <v>235.98580955277777</v>
      </c>
      <c r="E24" s="41">
        <v>20</v>
      </c>
      <c r="F24" s="79">
        <f t="shared" si="4"/>
        <v>941.04770680555544</v>
      </c>
      <c r="G24" s="79">
        <f t="shared" si="0"/>
        <v>306.78155241861106</v>
      </c>
      <c r="I24" s="211"/>
      <c r="J24" s="211"/>
      <c r="K24" s="212"/>
      <c r="L24" s="214"/>
      <c r="M24" s="8"/>
      <c r="N24" s="8"/>
    </row>
    <row r="25" spans="1:14" ht="15" customHeight="1" thickBot="1" x14ac:dyDescent="0.25">
      <c r="A25" s="41">
        <v>19</v>
      </c>
      <c r="B25" s="79">
        <f t="shared" si="1"/>
        <v>687.6887088194444</v>
      </c>
      <c r="C25" s="80">
        <f t="shared" si="2"/>
        <v>674.07589285714289</v>
      </c>
      <c r="D25" s="79">
        <f t="shared" si="3"/>
        <v>224.18651907513888</v>
      </c>
      <c r="E25" s="41">
        <v>19</v>
      </c>
      <c r="F25" s="79">
        <f t="shared" si="4"/>
        <v>893.99532146527758</v>
      </c>
      <c r="G25" s="79">
        <f t="shared" si="0"/>
        <v>291.44247479768052</v>
      </c>
      <c r="I25" s="37"/>
      <c r="J25" s="19"/>
      <c r="K25" s="8"/>
      <c r="L25" s="129"/>
      <c r="M25" s="8"/>
      <c r="N25" s="8"/>
    </row>
    <row r="26" spans="1:14" ht="15" customHeight="1" x14ac:dyDescent="0.2">
      <c r="A26" s="41">
        <v>18</v>
      </c>
      <c r="B26" s="79">
        <f t="shared" si="1"/>
        <v>651.49456625000005</v>
      </c>
      <c r="C26" s="80">
        <f t="shared" si="2"/>
        <v>638.59821428571422</v>
      </c>
      <c r="D26" s="79">
        <f t="shared" si="3"/>
        <v>212.38722859750001</v>
      </c>
      <c r="E26" s="41">
        <v>18</v>
      </c>
      <c r="F26" s="79">
        <f t="shared" si="4"/>
        <v>846.94293612499985</v>
      </c>
      <c r="G26" s="79">
        <f t="shared" si="0"/>
        <v>276.10339717674998</v>
      </c>
      <c r="I26" s="211" t="s">
        <v>78</v>
      </c>
      <c r="J26" s="211"/>
      <c r="K26" s="212"/>
      <c r="L26" s="215">
        <v>0</v>
      </c>
      <c r="M26" s="8"/>
      <c r="N26" s="8"/>
    </row>
    <row r="27" spans="1:14" ht="15" customHeight="1" thickBot="1" x14ac:dyDescent="0.25">
      <c r="A27" s="41">
        <v>17</v>
      </c>
      <c r="B27" s="79">
        <f t="shared" si="1"/>
        <v>615.30042368055558</v>
      </c>
      <c r="C27" s="80">
        <f t="shared" si="2"/>
        <v>603.12053571428578</v>
      </c>
      <c r="D27" s="79">
        <f t="shared" si="3"/>
        <v>200.58793811986112</v>
      </c>
      <c r="E27" s="41">
        <v>17</v>
      </c>
      <c r="F27" s="79">
        <f t="shared" si="4"/>
        <v>799.89055078472211</v>
      </c>
      <c r="G27" s="79">
        <f t="shared" si="0"/>
        <v>260.76431955581944</v>
      </c>
      <c r="I27" s="211"/>
      <c r="J27" s="211"/>
      <c r="K27" s="212"/>
      <c r="L27" s="216"/>
      <c r="M27" s="8"/>
      <c r="N27" s="8"/>
    </row>
    <row r="28" spans="1:14" ht="15" customHeight="1" thickBot="1" x14ac:dyDescent="0.25">
      <c r="A28" s="41">
        <v>16</v>
      </c>
      <c r="B28" s="79">
        <f t="shared" si="1"/>
        <v>579.10628111111112</v>
      </c>
      <c r="C28" s="80">
        <f t="shared" si="2"/>
        <v>567.64285714285711</v>
      </c>
      <c r="D28" s="79">
        <f t="shared" si="3"/>
        <v>188.78864764222223</v>
      </c>
      <c r="E28" s="41">
        <v>16</v>
      </c>
      <c r="F28" s="79">
        <f t="shared" si="4"/>
        <v>752.83816544444437</v>
      </c>
      <c r="G28" s="79">
        <f t="shared" si="0"/>
        <v>245.42524193488887</v>
      </c>
      <c r="I28" s="37"/>
      <c r="J28" s="19"/>
      <c r="K28" s="8"/>
      <c r="L28" s="129"/>
      <c r="M28" s="8"/>
      <c r="N28" s="8"/>
    </row>
    <row r="29" spans="1:14" ht="15" customHeight="1" x14ac:dyDescent="0.2">
      <c r="A29" s="41">
        <v>15</v>
      </c>
      <c r="B29" s="79">
        <f t="shared" si="1"/>
        <v>542.91213854166665</v>
      </c>
      <c r="C29" s="80">
        <f t="shared" si="2"/>
        <v>532.16517857142856</v>
      </c>
      <c r="D29" s="79">
        <f t="shared" si="3"/>
        <v>176.98935716458334</v>
      </c>
      <c r="E29" s="41">
        <v>15</v>
      </c>
      <c r="F29" s="79">
        <f t="shared" si="4"/>
        <v>705.78578010416663</v>
      </c>
      <c r="G29" s="79">
        <f t="shared" si="0"/>
        <v>230.08616431395834</v>
      </c>
      <c r="I29" s="217" t="s">
        <v>74</v>
      </c>
      <c r="J29" s="218"/>
      <c r="K29" s="218"/>
      <c r="L29" s="219"/>
      <c r="M29" s="8"/>
      <c r="N29" s="8"/>
    </row>
    <row r="30" spans="1:14" ht="15" customHeight="1" thickBot="1" x14ac:dyDescent="0.25">
      <c r="A30" s="41">
        <v>14</v>
      </c>
      <c r="B30" s="79">
        <f t="shared" si="1"/>
        <v>506.71799597222218</v>
      </c>
      <c r="C30" s="80">
        <f t="shared" si="2"/>
        <v>496.6875</v>
      </c>
      <c r="D30" s="79">
        <f t="shared" si="3"/>
        <v>165.19006668694445</v>
      </c>
      <c r="E30" s="41">
        <v>14</v>
      </c>
      <c r="F30" s="79">
        <f t="shared" si="4"/>
        <v>658.73339476388878</v>
      </c>
      <c r="G30" s="79">
        <f t="shared" si="0"/>
        <v>214.74708669302774</v>
      </c>
      <c r="I30" s="220"/>
      <c r="J30" s="221"/>
      <c r="K30" s="221"/>
      <c r="L30" s="222"/>
      <c r="M30" s="8"/>
      <c r="N30" s="8"/>
    </row>
    <row r="31" spans="1:14" ht="15" customHeight="1" thickBot="1" x14ac:dyDescent="0.25">
      <c r="A31" s="41">
        <v>13</v>
      </c>
      <c r="B31" s="79">
        <f t="shared" si="1"/>
        <v>470.52385340277777</v>
      </c>
      <c r="C31" s="80">
        <f t="shared" si="2"/>
        <v>461.20982142857144</v>
      </c>
      <c r="D31" s="79">
        <f t="shared" si="3"/>
        <v>153.39077620930556</v>
      </c>
      <c r="E31" s="41">
        <v>13</v>
      </c>
      <c r="F31" s="79">
        <f t="shared" si="4"/>
        <v>611.68100942361104</v>
      </c>
      <c r="G31" s="79">
        <f t="shared" si="0"/>
        <v>199.4080090720972</v>
      </c>
      <c r="I31" s="156" t="s">
        <v>79</v>
      </c>
      <c r="J31" s="154" t="s">
        <v>63</v>
      </c>
      <c r="K31" s="152" t="s">
        <v>80</v>
      </c>
      <c r="L31" s="136" t="s">
        <v>65</v>
      </c>
      <c r="M31" s="8"/>
      <c r="N31" s="8"/>
    </row>
    <row r="32" spans="1:14" ht="15" customHeight="1" x14ac:dyDescent="0.2">
      <c r="A32" s="41">
        <v>12</v>
      </c>
      <c r="B32" s="79">
        <f t="shared" si="1"/>
        <v>434.32971083333331</v>
      </c>
      <c r="C32" s="80">
        <f t="shared" si="2"/>
        <v>425.73214285714289</v>
      </c>
      <c r="D32" s="79">
        <f t="shared" si="3"/>
        <v>141.59148573166667</v>
      </c>
      <c r="E32" s="41">
        <v>12</v>
      </c>
      <c r="F32" s="79">
        <f t="shared" si="4"/>
        <v>564.62862408333331</v>
      </c>
      <c r="G32" s="79">
        <f t="shared" si="0"/>
        <v>184.06893145116666</v>
      </c>
      <c r="I32" s="203">
        <f>((L23/40*7.5*5)/7)*30*$C$46</f>
        <v>0</v>
      </c>
      <c r="J32" s="205">
        <f>IF(L26&lt;I32,I32,L26)</f>
        <v>0</v>
      </c>
      <c r="K32" s="207">
        <v>32.6</v>
      </c>
      <c r="L32" s="209">
        <f>J32*K32%</f>
        <v>0</v>
      </c>
      <c r="M32" s="8"/>
      <c r="N32" s="8"/>
    </row>
    <row r="33" spans="1:14" ht="15" customHeight="1" thickBot="1" x14ac:dyDescent="0.25">
      <c r="A33" s="41">
        <v>11</v>
      </c>
      <c r="B33" s="79">
        <f t="shared" si="1"/>
        <v>398.13556826388884</v>
      </c>
      <c r="C33" s="80">
        <f t="shared" si="2"/>
        <v>390.25446428571433</v>
      </c>
      <c r="D33" s="79">
        <f t="shared" si="3"/>
        <v>129.79219525402777</v>
      </c>
      <c r="E33" s="41">
        <v>11</v>
      </c>
      <c r="F33" s="79">
        <f t="shared" si="4"/>
        <v>517.57623874305546</v>
      </c>
      <c r="G33" s="79">
        <f t="shared" si="0"/>
        <v>168.7298538302361</v>
      </c>
      <c r="I33" s="204"/>
      <c r="J33" s="206"/>
      <c r="K33" s="208"/>
      <c r="L33" s="210"/>
      <c r="M33" s="8"/>
      <c r="N33" s="8"/>
    </row>
    <row r="34" spans="1:14" ht="15" customHeight="1" thickBot="1" x14ac:dyDescent="0.25">
      <c r="A34" s="41">
        <v>10</v>
      </c>
      <c r="B34" s="79">
        <f t="shared" si="1"/>
        <v>361.94142569444443</v>
      </c>
      <c r="C34" s="80">
        <f t="shared" si="2"/>
        <v>354.77678571428567</v>
      </c>
      <c r="D34" s="79">
        <f t="shared" si="3"/>
        <v>117.99290477638888</v>
      </c>
      <c r="E34" s="41">
        <v>10</v>
      </c>
      <c r="F34" s="79">
        <f t="shared" si="4"/>
        <v>470.52385340277772</v>
      </c>
      <c r="G34" s="79">
        <f t="shared" si="0"/>
        <v>153.39077620930553</v>
      </c>
      <c r="I34" s="198" t="s">
        <v>75</v>
      </c>
      <c r="J34" s="199"/>
      <c r="K34" s="200"/>
      <c r="L34" s="147">
        <f>SUM(L32)</f>
        <v>0</v>
      </c>
      <c r="M34" s="8"/>
      <c r="N34" s="8"/>
    </row>
    <row r="35" spans="1:14" ht="15" customHeight="1" x14ac:dyDescent="0.2">
      <c r="A35" s="41">
        <v>9</v>
      </c>
      <c r="B35" s="79">
        <f t="shared" si="1"/>
        <v>325.74728312500002</v>
      </c>
      <c r="C35" s="80">
        <f t="shared" si="2"/>
        <v>319.29910714285711</v>
      </c>
      <c r="D35" s="79">
        <f t="shared" si="3"/>
        <v>106.19361429875001</v>
      </c>
      <c r="E35" s="41">
        <v>9</v>
      </c>
      <c r="F35" s="79">
        <f t="shared" si="4"/>
        <v>423.47146806249992</v>
      </c>
      <c r="G35" s="79">
        <f t="shared" si="0"/>
        <v>138.05169858837499</v>
      </c>
      <c r="I35" s="37"/>
      <c r="J35" s="19"/>
      <c r="K35" s="8"/>
      <c r="L35" s="129"/>
      <c r="M35" s="8"/>
      <c r="N35" s="155"/>
    </row>
    <row r="36" spans="1:14" ht="15" customHeight="1" x14ac:dyDescent="0.2">
      <c r="A36" s="41">
        <v>8</v>
      </c>
      <c r="B36" s="79">
        <f t="shared" si="1"/>
        <v>289.55314055555556</v>
      </c>
      <c r="C36" s="80">
        <f t="shared" si="2"/>
        <v>283.82142857142856</v>
      </c>
      <c r="D36" s="79">
        <f t="shared" si="3"/>
        <v>94.394323821111115</v>
      </c>
      <c r="E36" s="41">
        <v>8</v>
      </c>
      <c r="F36" s="79">
        <f t="shared" si="4"/>
        <v>376.41908272222219</v>
      </c>
      <c r="G36" s="79">
        <f t="shared" si="0"/>
        <v>122.71262096744444</v>
      </c>
      <c r="I36" s="201" t="s">
        <v>77</v>
      </c>
      <c r="J36" s="201"/>
      <c r="K36" s="201"/>
      <c r="L36" s="201"/>
      <c r="M36" s="202" t="s">
        <v>76</v>
      </c>
      <c r="N36" s="155"/>
    </row>
    <row r="37" spans="1:14" ht="15" customHeight="1" x14ac:dyDescent="0.2">
      <c r="A37" s="41">
        <v>7</v>
      </c>
      <c r="B37" s="79">
        <f t="shared" si="1"/>
        <v>253.35899798611109</v>
      </c>
      <c r="C37" s="80">
        <f t="shared" si="2"/>
        <v>248.34375</v>
      </c>
      <c r="D37" s="79">
        <f t="shared" si="3"/>
        <v>82.595033343472224</v>
      </c>
      <c r="E37" s="41">
        <v>7</v>
      </c>
      <c r="F37" s="79">
        <f t="shared" si="4"/>
        <v>329.36669738194439</v>
      </c>
      <c r="G37" s="79">
        <f t="shared" si="0"/>
        <v>107.37354334651387</v>
      </c>
      <c r="I37" s="201"/>
      <c r="J37" s="201"/>
      <c r="K37" s="201"/>
      <c r="L37" s="201"/>
      <c r="M37" s="202"/>
      <c r="N37" s="155"/>
    </row>
    <row r="38" spans="1:14" ht="15" customHeight="1" x14ac:dyDescent="0.2">
      <c r="A38" s="41">
        <v>6</v>
      </c>
      <c r="B38" s="79">
        <f t="shared" si="1"/>
        <v>217.16485541666665</v>
      </c>
      <c r="C38" s="80">
        <f t="shared" si="2"/>
        <v>212.86607142857144</v>
      </c>
      <c r="D38" s="79">
        <f t="shared" si="3"/>
        <v>70.795742865833333</v>
      </c>
      <c r="E38" s="41">
        <v>6</v>
      </c>
      <c r="F38" s="79">
        <f t="shared" si="4"/>
        <v>282.31431204166665</v>
      </c>
      <c r="G38" s="79">
        <f t="shared" si="0"/>
        <v>92.034465725583331</v>
      </c>
      <c r="I38" s="5"/>
    </row>
    <row r="39" spans="1:14" ht="15" customHeight="1" x14ac:dyDescent="0.2">
      <c r="A39" s="41">
        <v>5</v>
      </c>
      <c r="B39" s="79">
        <f t="shared" si="1"/>
        <v>180.97071284722222</v>
      </c>
      <c r="C39" s="80">
        <f t="shared" si="2"/>
        <v>177.38839285714283</v>
      </c>
      <c r="D39" s="79">
        <f t="shared" si="3"/>
        <v>58.996452388194442</v>
      </c>
      <c r="E39" s="41">
        <v>5</v>
      </c>
      <c r="F39" s="79">
        <f t="shared" si="4"/>
        <v>235.26192670138886</v>
      </c>
      <c r="G39" s="79">
        <f t="shared" si="0"/>
        <v>76.695388104652764</v>
      </c>
      <c r="I39" s="5"/>
    </row>
    <row r="40" spans="1:14" ht="15" customHeight="1" x14ac:dyDescent="0.2">
      <c r="A40" s="41">
        <v>4</v>
      </c>
      <c r="B40" s="79">
        <f t="shared" si="1"/>
        <v>144.77657027777778</v>
      </c>
      <c r="C40" s="80">
        <f t="shared" si="2"/>
        <v>141.91071428571428</v>
      </c>
      <c r="D40" s="79">
        <f t="shared" si="3"/>
        <v>47.197161910555558</v>
      </c>
      <c r="E40" s="41">
        <v>4</v>
      </c>
      <c r="F40" s="79">
        <f t="shared" si="4"/>
        <v>188.20954136111109</v>
      </c>
      <c r="G40" s="79">
        <f t="shared" si="0"/>
        <v>61.356310483722218</v>
      </c>
      <c r="I40" s="5"/>
    </row>
    <row r="41" spans="1:14" ht="15" customHeight="1" x14ac:dyDescent="0.2">
      <c r="A41" s="41">
        <v>3</v>
      </c>
      <c r="B41" s="79">
        <f t="shared" si="1"/>
        <v>108.58242770833333</v>
      </c>
      <c r="C41" s="80">
        <f t="shared" si="2"/>
        <v>106.43303571428572</v>
      </c>
      <c r="D41" s="79">
        <f t="shared" si="3"/>
        <v>35.397871432916666</v>
      </c>
      <c r="E41" s="41">
        <v>3</v>
      </c>
      <c r="F41" s="79">
        <f t="shared" si="4"/>
        <v>141.15715602083333</v>
      </c>
      <c r="G41" s="79">
        <f t="shared" si="0"/>
        <v>46.017232862791666</v>
      </c>
      <c r="I41" s="5"/>
    </row>
    <row r="42" spans="1:14" ht="15" customHeight="1" x14ac:dyDescent="0.2">
      <c r="A42" s="41">
        <v>2</v>
      </c>
      <c r="B42" s="79">
        <f t="shared" si="1"/>
        <v>72.388285138888889</v>
      </c>
      <c r="C42" s="80">
        <f t="shared" si="2"/>
        <v>70.955357142857139</v>
      </c>
      <c r="D42" s="79">
        <f t="shared" si="3"/>
        <v>23.598580955277779</v>
      </c>
      <c r="E42" s="41">
        <v>2</v>
      </c>
      <c r="F42" s="79">
        <f t="shared" si="4"/>
        <v>94.104770680555546</v>
      </c>
      <c r="G42" s="79">
        <f t="shared" si="0"/>
        <v>30.678155241861109</v>
      </c>
      <c r="I42" s="5"/>
    </row>
    <row r="43" spans="1:14" ht="15" customHeight="1" x14ac:dyDescent="0.2">
      <c r="A43" s="42">
        <v>1</v>
      </c>
      <c r="B43" s="81">
        <f t="shared" si="1"/>
        <v>36.194142569444445</v>
      </c>
      <c r="C43" s="82">
        <f t="shared" si="2"/>
        <v>35.477678571428569</v>
      </c>
      <c r="D43" s="81">
        <f t="shared" si="3"/>
        <v>11.799290477638889</v>
      </c>
      <c r="E43" s="42">
        <v>1</v>
      </c>
      <c r="F43" s="81">
        <f t="shared" si="4"/>
        <v>47.052385340277773</v>
      </c>
      <c r="G43" s="81">
        <f t="shared" si="0"/>
        <v>15.339077620930555</v>
      </c>
      <c r="I43" s="5"/>
    </row>
    <row r="46" spans="1:14" s="8" customFormat="1" ht="26.25" hidden="1" thickBot="1" x14ac:dyDescent="0.25">
      <c r="A46" s="33"/>
      <c r="B46" s="34" t="s">
        <v>14</v>
      </c>
      <c r="C46" s="35">
        <v>8.83</v>
      </c>
      <c r="D46" s="33"/>
      <c r="E46" s="17"/>
      <c r="F46" s="33"/>
      <c r="G46" s="33"/>
      <c r="I46" s="19"/>
    </row>
  </sheetData>
  <sheetProtection algorithmName="SHA-512" hashValue="tpCLw2uQGn8tdNLW7+OCg+6TIbPIxtTiutE/bGJqunKXOS1ibrZrMiLkCn2+Q3dXPsZt/xA8U7jZSPmabBCv8Q==" saltValue="N0wyytuxZR0iRp2AuFxPjg==" spinCount="100000" sheet="1" objects="1" scenarios="1"/>
  <protectedRanges>
    <protectedRange sqref="M36" name="CALCULO RC"/>
    <protectedRange sqref="L8" name="RET TC"/>
    <protectedRange sqref="L23" name="DED"/>
    <protectedRange sqref="L26" name="RET TP"/>
  </protectedRanges>
  <mergeCells count="35">
    <mergeCell ref="I34:K34"/>
    <mergeCell ref="I36:L37"/>
    <mergeCell ref="M36:M37"/>
    <mergeCell ref="I29:L30"/>
    <mergeCell ref="I32:I33"/>
    <mergeCell ref="J32:J33"/>
    <mergeCell ref="K32:K33"/>
    <mergeCell ref="L32:L33"/>
    <mergeCell ref="I20:N21"/>
    <mergeCell ref="I23:K24"/>
    <mergeCell ref="L23:L24"/>
    <mergeCell ref="I26:K27"/>
    <mergeCell ref="L26:L27"/>
    <mergeCell ref="I16:I17"/>
    <mergeCell ref="J16:J17"/>
    <mergeCell ref="K16:K17"/>
    <mergeCell ref="L16:L17"/>
    <mergeCell ref="I18:J18"/>
    <mergeCell ref="I8:K9"/>
    <mergeCell ref="L8:L9"/>
    <mergeCell ref="I11:L12"/>
    <mergeCell ref="I14:I15"/>
    <mergeCell ref="J14:J15"/>
    <mergeCell ref="K14:K15"/>
    <mergeCell ref="L14:L15"/>
    <mergeCell ref="I4:I5"/>
    <mergeCell ref="J4:J5"/>
    <mergeCell ref="K4:K5"/>
    <mergeCell ref="L4:L5"/>
    <mergeCell ref="M4:M5"/>
    <mergeCell ref="B2:D2"/>
    <mergeCell ref="F2:G2"/>
    <mergeCell ref="A1:G1"/>
    <mergeCell ref="I2:K2"/>
    <mergeCell ref="L2:M2"/>
  </mergeCells>
  <hyperlinks>
    <hyperlink ref="M36:M37" r:id="rId1" display="CALCULO RC"/>
  </hyperlinks>
  <pageMargins left="0.94488188976377963" right="0.94488188976377963" top="0" bottom="0.39370078740157483" header="0" footer="0"/>
  <pageSetup paperSize="9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4" zoomScaleNormal="100" workbookViewId="0">
      <selection activeCell="G27" sqref="G27"/>
    </sheetView>
  </sheetViews>
  <sheetFormatPr baseColWidth="10" defaultColWidth="11.5703125" defaultRowHeight="14.25" x14ac:dyDescent="0.2"/>
  <cols>
    <col min="1" max="1" width="18.42578125" style="4" customWidth="1"/>
    <col min="2" max="2" width="24.85546875" style="74" customWidth="1"/>
    <col min="3" max="3" width="16.7109375" style="75" hidden="1" customWidth="1"/>
    <col min="4" max="4" width="18.42578125" style="74" customWidth="1"/>
    <col min="5" max="5" width="18.42578125" style="5" customWidth="1"/>
    <col min="6" max="6" width="24.85546875" style="74" customWidth="1"/>
    <col min="7" max="7" width="18.42578125" style="74" customWidth="1"/>
    <col min="8" max="8" width="11.5703125" style="5"/>
    <col min="9" max="9" width="20.7109375" style="7" customWidth="1"/>
    <col min="10" max="10" width="19.7109375" style="5" customWidth="1"/>
    <col min="11" max="11" width="20.5703125" style="5" customWidth="1"/>
    <col min="12" max="12" width="17.28515625" style="5" customWidth="1"/>
    <col min="13" max="13" width="15.5703125" style="5" customWidth="1"/>
    <col min="14" max="16384" width="11.5703125" style="5"/>
  </cols>
  <sheetData>
    <row r="1" spans="1:14" s="8" customFormat="1" ht="65.25" customHeight="1" x14ac:dyDescent="0.2">
      <c r="A1" s="233" t="s">
        <v>55</v>
      </c>
      <c r="B1" s="234"/>
      <c r="C1" s="234"/>
      <c r="D1" s="234"/>
      <c r="E1" s="234"/>
      <c r="F1" s="234"/>
      <c r="G1" s="234"/>
      <c r="K1" s="19"/>
    </row>
    <row r="2" spans="1:14" s="38" customFormat="1" ht="24.75" customHeight="1" x14ac:dyDescent="0.2">
      <c r="A2" s="47"/>
      <c r="B2" s="270" t="s">
        <v>47</v>
      </c>
      <c r="C2" s="270"/>
      <c r="D2" s="271"/>
      <c r="E2" s="45"/>
      <c r="F2" s="270" t="s">
        <v>48</v>
      </c>
      <c r="G2" s="271"/>
      <c r="I2" s="235" t="s">
        <v>58</v>
      </c>
      <c r="J2" s="235"/>
      <c r="K2" s="235"/>
      <c r="L2" s="235" t="s">
        <v>62</v>
      </c>
      <c r="M2" s="235"/>
    </row>
    <row r="3" spans="1:14" s="27" customFormat="1" ht="38.25" x14ac:dyDescent="0.2">
      <c r="A3" s="46" t="s">
        <v>45</v>
      </c>
      <c r="B3" s="71" t="s">
        <v>46</v>
      </c>
      <c r="C3" s="72" t="s">
        <v>15</v>
      </c>
      <c r="D3" s="73" t="s">
        <v>50</v>
      </c>
      <c r="E3" s="43" t="s">
        <v>45</v>
      </c>
      <c r="F3" s="71" t="s">
        <v>46</v>
      </c>
      <c r="G3" s="73" t="s">
        <v>51</v>
      </c>
      <c r="I3" s="141" t="s">
        <v>57</v>
      </c>
      <c r="J3" s="141" t="s">
        <v>68</v>
      </c>
      <c r="K3" s="141" t="s">
        <v>69</v>
      </c>
      <c r="L3" s="142" t="s">
        <v>60</v>
      </c>
      <c r="M3" s="141" t="s">
        <v>61</v>
      </c>
    </row>
    <row r="4" spans="1:14" ht="15" customHeight="1" x14ac:dyDescent="0.2">
      <c r="A4" s="40">
        <v>40</v>
      </c>
      <c r="B4" s="77">
        <f>PARAMETROS!B7</f>
        <v>1357.2803463541668</v>
      </c>
      <c r="C4" s="78"/>
      <c r="D4" s="77"/>
      <c r="E4" s="40">
        <v>40</v>
      </c>
      <c r="F4" s="77">
        <f>PARAMETROS!C7</f>
        <v>1764.4644502604167</v>
      </c>
      <c r="G4" s="77">
        <f>IF(F4&gt;$K$4,$K$4*$K$18%,F4*$K$18%)</f>
        <v>575.21541078489588</v>
      </c>
      <c r="I4" s="236">
        <v>2</v>
      </c>
      <c r="J4" s="237">
        <v>1215.9000000000001</v>
      </c>
      <c r="K4" s="237">
        <v>4070.1</v>
      </c>
      <c r="L4" s="240">
        <v>1050</v>
      </c>
      <c r="M4" s="240">
        <v>4070.1</v>
      </c>
      <c r="N4" s="8"/>
    </row>
    <row r="5" spans="1:14" x14ac:dyDescent="0.2">
      <c r="A5" s="41">
        <v>39</v>
      </c>
      <c r="B5" s="79">
        <f>PRODUCT(B$4,A5)/A$4</f>
        <v>1323.3483376953127</v>
      </c>
      <c r="C5" s="80">
        <f>(A5/$A$4*7.5*5)/7*30*$C$46</f>
        <v>1147.0178571428571</v>
      </c>
      <c r="D5" s="79">
        <f>IF(B5&lt;C5,C5*$K$18%,B5*$K$18%)</f>
        <v>431.41155808867194</v>
      </c>
      <c r="E5" s="41">
        <v>39</v>
      </c>
      <c r="F5" s="79">
        <f>PRODUCT(F$4,E5)/E$4</f>
        <v>1720.3528390039064</v>
      </c>
      <c r="G5" s="79">
        <f t="shared" ref="G5:G43" si="0">IF(F5&gt;$K$4,$K$4*$K$18%,F5*$K$18%)</f>
        <v>560.83502551527351</v>
      </c>
      <c r="I5" s="236"/>
      <c r="J5" s="237"/>
      <c r="K5" s="237"/>
      <c r="L5" s="240"/>
      <c r="M5" s="240"/>
      <c r="N5" s="8"/>
    </row>
    <row r="6" spans="1:14" x14ac:dyDescent="0.2">
      <c r="A6" s="41">
        <v>38</v>
      </c>
      <c r="B6" s="79">
        <f t="shared" ref="B6:B43" si="1">PRODUCT(B$4,A6)/A$4</f>
        <v>1289.4163290364584</v>
      </c>
      <c r="C6" s="80">
        <f t="shared" ref="C6:C43" si="2">(A6/$A$4*7.5*5)/7*30*$C$46</f>
        <v>1117.6071428571431</v>
      </c>
      <c r="D6" s="79">
        <f t="shared" ref="D6:D43" si="3">IF(B6&lt;C6,C6*$K$18%,B6*$K$18%)</f>
        <v>420.34972326588542</v>
      </c>
      <c r="E6" s="41">
        <v>38</v>
      </c>
      <c r="F6" s="79">
        <f t="shared" ref="F6:F43" si="4">PRODUCT(F$4,E6)/E$4</f>
        <v>1676.2412277473959</v>
      </c>
      <c r="G6" s="79">
        <f t="shared" si="0"/>
        <v>546.45464024565104</v>
      </c>
      <c r="I6" s="37"/>
      <c r="J6" s="8"/>
      <c r="K6" s="8"/>
      <c r="L6" s="129"/>
      <c r="M6" s="8"/>
      <c r="N6" s="8"/>
    </row>
    <row r="7" spans="1:14" ht="15" thickBot="1" x14ac:dyDescent="0.25">
      <c r="A7" s="41">
        <v>37</v>
      </c>
      <c r="B7" s="79">
        <f t="shared" si="1"/>
        <v>1255.4843203776043</v>
      </c>
      <c r="C7" s="80">
        <f t="shared" si="2"/>
        <v>1088.1964285714287</v>
      </c>
      <c r="D7" s="79">
        <f t="shared" si="3"/>
        <v>409.28788844309901</v>
      </c>
      <c r="E7" s="41">
        <v>37</v>
      </c>
      <c r="F7" s="79">
        <f t="shared" si="4"/>
        <v>1632.1296164908854</v>
      </c>
      <c r="G7" s="79">
        <f t="shared" si="0"/>
        <v>532.07425497602867</v>
      </c>
      <c r="I7" s="37"/>
      <c r="J7" s="19"/>
      <c r="K7" s="8"/>
      <c r="L7" s="129"/>
      <c r="M7" s="8"/>
      <c r="N7" s="8"/>
    </row>
    <row r="8" spans="1:14" x14ac:dyDescent="0.2">
      <c r="A8" s="41">
        <v>36</v>
      </c>
      <c r="B8" s="79">
        <f t="shared" si="1"/>
        <v>1221.5523117187502</v>
      </c>
      <c r="C8" s="80">
        <f t="shared" si="2"/>
        <v>1058.7857142857142</v>
      </c>
      <c r="D8" s="79">
        <f t="shared" si="3"/>
        <v>398.22605362031254</v>
      </c>
      <c r="E8" s="41">
        <v>36</v>
      </c>
      <c r="F8" s="79">
        <f t="shared" si="4"/>
        <v>1588.0180052343751</v>
      </c>
      <c r="G8" s="79">
        <f t="shared" si="0"/>
        <v>517.6938697064063</v>
      </c>
      <c r="I8" s="211" t="s">
        <v>72</v>
      </c>
      <c r="J8" s="211"/>
      <c r="K8" s="212"/>
      <c r="L8" s="215">
        <v>1357.28</v>
      </c>
      <c r="M8" s="8"/>
      <c r="N8" s="8"/>
    </row>
    <row r="9" spans="1:14" ht="15" thickBot="1" x14ac:dyDescent="0.25">
      <c r="A9" s="41">
        <v>35</v>
      </c>
      <c r="B9" s="79">
        <f t="shared" si="1"/>
        <v>1187.6203030598958</v>
      </c>
      <c r="C9" s="80">
        <f t="shared" si="2"/>
        <v>1029.375</v>
      </c>
      <c r="D9" s="79">
        <f t="shared" si="3"/>
        <v>387.16421879752608</v>
      </c>
      <c r="E9" s="41">
        <v>35</v>
      </c>
      <c r="F9" s="79">
        <f t="shared" si="4"/>
        <v>1543.9063939778646</v>
      </c>
      <c r="G9" s="79">
        <f t="shared" si="0"/>
        <v>503.31348443678388</v>
      </c>
      <c r="I9" s="211"/>
      <c r="J9" s="211"/>
      <c r="K9" s="212"/>
      <c r="L9" s="216"/>
      <c r="M9" s="8"/>
      <c r="N9" s="8"/>
    </row>
    <row r="10" spans="1:14" ht="15" thickBot="1" x14ac:dyDescent="0.25">
      <c r="A10" s="41">
        <v>34</v>
      </c>
      <c r="B10" s="79">
        <f t="shared" si="1"/>
        <v>1153.6882944010417</v>
      </c>
      <c r="C10" s="80">
        <f t="shared" si="2"/>
        <v>999.96428571428578</v>
      </c>
      <c r="D10" s="79">
        <f t="shared" si="3"/>
        <v>376.10238397473961</v>
      </c>
      <c r="E10" s="41">
        <v>34</v>
      </c>
      <c r="F10" s="79">
        <f t="shared" si="4"/>
        <v>1499.7947827213543</v>
      </c>
      <c r="G10" s="79">
        <f t="shared" si="0"/>
        <v>488.93309916716152</v>
      </c>
      <c r="I10" s="137"/>
      <c r="J10" s="138"/>
      <c r="K10" s="139"/>
      <c r="L10" s="140"/>
      <c r="M10" s="8"/>
      <c r="N10" s="8"/>
    </row>
    <row r="11" spans="1:14" x14ac:dyDescent="0.2">
      <c r="A11" s="41">
        <v>33</v>
      </c>
      <c r="B11" s="79">
        <f t="shared" si="1"/>
        <v>1119.7562857421876</v>
      </c>
      <c r="C11" s="80">
        <f t="shared" si="2"/>
        <v>970.55357142857133</v>
      </c>
      <c r="D11" s="79">
        <f t="shared" si="3"/>
        <v>365.0405491519532</v>
      </c>
      <c r="E11" s="41">
        <v>33</v>
      </c>
      <c r="F11" s="79">
        <f t="shared" si="4"/>
        <v>1455.6831714648438</v>
      </c>
      <c r="G11" s="79">
        <f t="shared" si="0"/>
        <v>474.55271389753909</v>
      </c>
      <c r="I11" s="217" t="s">
        <v>70</v>
      </c>
      <c r="J11" s="218"/>
      <c r="K11" s="218"/>
      <c r="L11" s="219"/>
      <c r="M11" s="8"/>
      <c r="N11" s="8"/>
    </row>
    <row r="12" spans="1:14" ht="15" thickBot="1" x14ac:dyDescent="0.25">
      <c r="A12" s="41">
        <v>32</v>
      </c>
      <c r="B12" s="79">
        <f t="shared" si="1"/>
        <v>1085.8242770833335</v>
      </c>
      <c r="C12" s="80">
        <f t="shared" si="2"/>
        <v>941.14285714285711</v>
      </c>
      <c r="D12" s="79">
        <f t="shared" si="3"/>
        <v>353.97871432916673</v>
      </c>
      <c r="E12" s="41">
        <v>32</v>
      </c>
      <c r="F12" s="79">
        <f t="shared" si="4"/>
        <v>1411.5715602083333</v>
      </c>
      <c r="G12" s="79">
        <f t="shared" si="0"/>
        <v>460.17232862791667</v>
      </c>
      <c r="I12" s="220"/>
      <c r="J12" s="221"/>
      <c r="K12" s="221"/>
      <c r="L12" s="222"/>
      <c r="M12" s="8"/>
      <c r="N12" s="8"/>
    </row>
    <row r="13" spans="1:14" ht="15" thickBot="1" x14ac:dyDescent="0.25">
      <c r="A13" s="41">
        <v>31</v>
      </c>
      <c r="B13" s="79">
        <f t="shared" si="1"/>
        <v>1051.8922684244794</v>
      </c>
      <c r="C13" s="80">
        <f t="shared" si="2"/>
        <v>911.73214285714289</v>
      </c>
      <c r="D13" s="79">
        <f t="shared" si="3"/>
        <v>342.91687950638033</v>
      </c>
      <c r="E13" s="41">
        <v>31</v>
      </c>
      <c r="F13" s="79">
        <f t="shared" si="4"/>
        <v>1367.459948951823</v>
      </c>
      <c r="G13" s="79">
        <f t="shared" si="0"/>
        <v>445.7919433582943</v>
      </c>
      <c r="I13" s="134"/>
      <c r="J13" s="135" t="s">
        <v>63</v>
      </c>
      <c r="K13" s="152" t="s">
        <v>64</v>
      </c>
      <c r="L13" s="136" t="s">
        <v>65</v>
      </c>
      <c r="M13" s="8"/>
      <c r="N13" s="8"/>
    </row>
    <row r="14" spans="1:14" x14ac:dyDescent="0.2">
      <c r="A14" s="41">
        <v>30</v>
      </c>
      <c r="B14" s="79">
        <f t="shared" si="1"/>
        <v>1017.9602597656251</v>
      </c>
      <c r="C14" s="80">
        <f t="shared" si="2"/>
        <v>882.32142857142867</v>
      </c>
      <c r="D14" s="79">
        <f t="shared" si="3"/>
        <v>331.8550446835938</v>
      </c>
      <c r="E14" s="41">
        <v>30</v>
      </c>
      <c r="F14" s="79">
        <f t="shared" si="4"/>
        <v>1323.3483376953125</v>
      </c>
      <c r="G14" s="79">
        <f t="shared" si="0"/>
        <v>431.41155808867188</v>
      </c>
      <c r="I14" s="243" t="s">
        <v>66</v>
      </c>
      <c r="J14" s="223">
        <f>IF(L8&gt;=J4,L8,J4)</f>
        <v>1357.28</v>
      </c>
      <c r="K14" s="225">
        <v>23.6</v>
      </c>
      <c r="L14" s="230">
        <f>J14*K14%</f>
        <v>320.31808000000001</v>
      </c>
      <c r="M14" s="8"/>
      <c r="N14" s="8"/>
    </row>
    <row r="15" spans="1:14" ht="15" thickBot="1" x14ac:dyDescent="0.25">
      <c r="A15" s="41">
        <v>29</v>
      </c>
      <c r="B15" s="79">
        <f t="shared" si="1"/>
        <v>984.02825110677099</v>
      </c>
      <c r="C15" s="80">
        <f t="shared" si="2"/>
        <v>852.91071428571445</v>
      </c>
      <c r="D15" s="79">
        <f t="shared" si="3"/>
        <v>320.79320986080734</v>
      </c>
      <c r="E15" s="41">
        <v>29</v>
      </c>
      <c r="F15" s="79">
        <f t="shared" si="4"/>
        <v>1279.2367264388022</v>
      </c>
      <c r="G15" s="79">
        <f t="shared" si="0"/>
        <v>417.03117281904952</v>
      </c>
      <c r="I15" s="244"/>
      <c r="J15" s="224"/>
      <c r="K15" s="226"/>
      <c r="L15" s="231"/>
      <c r="M15" s="8"/>
      <c r="N15" s="8"/>
    </row>
    <row r="16" spans="1:14" x14ac:dyDescent="0.2">
      <c r="A16" s="41">
        <v>28</v>
      </c>
      <c r="B16" s="79">
        <f t="shared" si="1"/>
        <v>950.09624244791667</v>
      </c>
      <c r="C16" s="80">
        <f t="shared" si="2"/>
        <v>823.5</v>
      </c>
      <c r="D16" s="79">
        <f t="shared" si="3"/>
        <v>309.73137503802087</v>
      </c>
      <c r="E16" s="41">
        <v>28</v>
      </c>
      <c r="F16" s="79">
        <f t="shared" si="4"/>
        <v>1235.1251151822917</v>
      </c>
      <c r="G16" s="79">
        <f t="shared" si="0"/>
        <v>402.65078754942709</v>
      </c>
      <c r="I16" s="228" t="s">
        <v>67</v>
      </c>
      <c r="J16" s="223">
        <f>IF(L8&gt;=L4,L8,L4)</f>
        <v>1357.28</v>
      </c>
      <c r="K16" s="225">
        <v>9</v>
      </c>
      <c r="L16" s="209">
        <f>J16*K16%</f>
        <v>122.15519999999999</v>
      </c>
      <c r="M16" s="8"/>
      <c r="N16" s="8"/>
    </row>
    <row r="17" spans="1:14" ht="15" thickBot="1" x14ac:dyDescent="0.25">
      <c r="A17" s="41">
        <v>27</v>
      </c>
      <c r="B17" s="79">
        <f t="shared" si="1"/>
        <v>916.16423378906256</v>
      </c>
      <c r="C17" s="80">
        <f t="shared" si="2"/>
        <v>794.08928571428567</v>
      </c>
      <c r="D17" s="79">
        <f t="shared" si="3"/>
        <v>298.66954021523441</v>
      </c>
      <c r="E17" s="41">
        <v>27</v>
      </c>
      <c r="F17" s="79">
        <f t="shared" si="4"/>
        <v>1191.0135039257814</v>
      </c>
      <c r="G17" s="79">
        <f t="shared" si="0"/>
        <v>388.27040227980473</v>
      </c>
      <c r="I17" s="229"/>
      <c r="J17" s="224"/>
      <c r="K17" s="226">
        <v>0.2</v>
      </c>
      <c r="L17" s="227"/>
      <c r="M17" s="8"/>
      <c r="N17" s="8"/>
    </row>
    <row r="18" spans="1:14" ht="15" thickBot="1" x14ac:dyDescent="0.25">
      <c r="A18" s="41">
        <v>26</v>
      </c>
      <c r="B18" s="79">
        <f t="shared" si="1"/>
        <v>882.23222513020846</v>
      </c>
      <c r="C18" s="80">
        <f t="shared" si="2"/>
        <v>764.67857142857156</v>
      </c>
      <c r="D18" s="79">
        <f t="shared" si="3"/>
        <v>287.607705392448</v>
      </c>
      <c r="E18" s="41">
        <v>26</v>
      </c>
      <c r="F18" s="79">
        <f t="shared" si="4"/>
        <v>1146.9018926692709</v>
      </c>
      <c r="G18" s="79">
        <f t="shared" si="0"/>
        <v>373.89001701018231</v>
      </c>
      <c r="I18" s="241" t="s">
        <v>71</v>
      </c>
      <c r="J18" s="242"/>
      <c r="K18" s="153">
        <f>(K14+K16)</f>
        <v>32.6</v>
      </c>
      <c r="L18" s="147">
        <f>SUM(L14:L17)</f>
        <v>442.47327999999999</v>
      </c>
      <c r="M18" s="8"/>
      <c r="N18" s="8"/>
    </row>
    <row r="19" spans="1:14" x14ac:dyDescent="0.2">
      <c r="A19" s="41">
        <v>25</v>
      </c>
      <c r="B19" s="79">
        <f t="shared" si="1"/>
        <v>848.30021647135413</v>
      </c>
      <c r="C19" s="80">
        <f t="shared" si="2"/>
        <v>735.26785714285711</v>
      </c>
      <c r="D19" s="79">
        <f t="shared" si="3"/>
        <v>276.54587056966147</v>
      </c>
      <c r="E19" s="41">
        <v>25</v>
      </c>
      <c r="F19" s="79">
        <f t="shared" si="4"/>
        <v>1102.7902814127606</v>
      </c>
      <c r="G19" s="79">
        <f t="shared" si="0"/>
        <v>359.50963174055994</v>
      </c>
      <c r="I19" s="143"/>
      <c r="J19" s="144"/>
      <c r="K19" s="145"/>
      <c r="L19" s="146"/>
      <c r="M19" s="8"/>
      <c r="N19" s="8"/>
    </row>
    <row r="20" spans="1:14" ht="14.25" customHeight="1" x14ac:dyDescent="0.2">
      <c r="A20" s="41">
        <v>24</v>
      </c>
      <c r="B20" s="79">
        <f t="shared" si="1"/>
        <v>814.36820781250003</v>
      </c>
      <c r="C20" s="80">
        <f t="shared" si="2"/>
        <v>705.85714285714289</v>
      </c>
      <c r="D20" s="79">
        <f t="shared" si="3"/>
        <v>265.48403574687501</v>
      </c>
      <c r="E20" s="41">
        <v>24</v>
      </c>
      <c r="F20" s="79">
        <f t="shared" si="4"/>
        <v>1058.6786701562501</v>
      </c>
      <c r="G20" s="79">
        <f t="shared" si="0"/>
        <v>345.12924647093752</v>
      </c>
      <c r="I20" s="232" t="s">
        <v>88</v>
      </c>
      <c r="J20" s="232"/>
      <c r="K20" s="232"/>
      <c r="L20" s="232"/>
      <c r="M20" s="232"/>
      <c r="N20" s="170"/>
    </row>
    <row r="21" spans="1:14" x14ac:dyDescent="0.2">
      <c r="A21" s="41">
        <v>23</v>
      </c>
      <c r="B21" s="79">
        <f t="shared" si="1"/>
        <v>780.43619915364593</v>
      </c>
      <c r="C21" s="80">
        <f t="shared" si="2"/>
        <v>676.44642857142856</v>
      </c>
      <c r="D21" s="79">
        <f t="shared" si="3"/>
        <v>254.42220092408857</v>
      </c>
      <c r="E21" s="41">
        <v>23</v>
      </c>
      <c r="F21" s="79">
        <f t="shared" si="4"/>
        <v>1014.5670588997397</v>
      </c>
      <c r="G21" s="79">
        <f t="shared" si="0"/>
        <v>330.74886120131515</v>
      </c>
      <c r="I21" s="232"/>
      <c r="J21" s="232"/>
      <c r="K21" s="232"/>
      <c r="L21" s="232"/>
      <c r="M21" s="232"/>
      <c r="N21" s="170"/>
    </row>
    <row r="22" spans="1:14" ht="15" thickBot="1" x14ac:dyDescent="0.25">
      <c r="A22" s="41">
        <v>22</v>
      </c>
      <c r="B22" s="79">
        <f t="shared" si="1"/>
        <v>746.50419049479171</v>
      </c>
      <c r="C22" s="80">
        <f t="shared" si="2"/>
        <v>647.03571428571433</v>
      </c>
      <c r="D22" s="79">
        <f t="shared" si="3"/>
        <v>243.36036610130211</v>
      </c>
      <c r="E22" s="41">
        <v>22</v>
      </c>
      <c r="F22" s="79">
        <f t="shared" si="4"/>
        <v>970.45544764322915</v>
      </c>
      <c r="G22" s="79">
        <f t="shared" si="0"/>
        <v>316.36847593169273</v>
      </c>
      <c r="I22" s="37"/>
      <c r="J22" s="19"/>
      <c r="K22" s="8"/>
      <c r="L22" s="129"/>
      <c r="M22" s="8"/>
      <c r="N22" s="8"/>
    </row>
    <row r="23" spans="1:14" x14ac:dyDescent="0.2">
      <c r="A23" s="41">
        <v>21</v>
      </c>
      <c r="B23" s="79">
        <f t="shared" si="1"/>
        <v>712.57218183593761</v>
      </c>
      <c r="C23" s="80">
        <f t="shared" si="2"/>
        <v>617.625</v>
      </c>
      <c r="D23" s="79">
        <f t="shared" si="3"/>
        <v>232.29853127851567</v>
      </c>
      <c r="E23" s="41">
        <v>21</v>
      </c>
      <c r="F23" s="79">
        <f t="shared" si="4"/>
        <v>926.34383638671875</v>
      </c>
      <c r="G23" s="79">
        <f t="shared" si="0"/>
        <v>301.98809066207031</v>
      </c>
      <c r="I23" s="211" t="s">
        <v>73</v>
      </c>
      <c r="J23" s="211"/>
      <c r="K23" s="212"/>
      <c r="L23" s="213">
        <v>0</v>
      </c>
      <c r="M23" s="8"/>
      <c r="N23" s="8"/>
    </row>
    <row r="24" spans="1:14" ht="15" thickBot="1" x14ac:dyDescent="0.25">
      <c r="A24" s="41">
        <v>20</v>
      </c>
      <c r="B24" s="79">
        <f t="shared" si="1"/>
        <v>678.6401731770834</v>
      </c>
      <c r="C24" s="80">
        <f t="shared" si="2"/>
        <v>588.21428571428567</v>
      </c>
      <c r="D24" s="79">
        <f t="shared" si="3"/>
        <v>221.2366964557292</v>
      </c>
      <c r="E24" s="41">
        <v>20</v>
      </c>
      <c r="F24" s="79">
        <f t="shared" si="4"/>
        <v>882.23222513020823</v>
      </c>
      <c r="G24" s="79">
        <f t="shared" si="0"/>
        <v>287.60770539244788</v>
      </c>
      <c r="I24" s="211"/>
      <c r="J24" s="211"/>
      <c r="K24" s="212"/>
      <c r="L24" s="214"/>
      <c r="M24" s="8"/>
      <c r="N24" s="8"/>
    </row>
    <row r="25" spans="1:14" ht="15" thickBot="1" x14ac:dyDescent="0.25">
      <c r="A25" s="41">
        <v>19</v>
      </c>
      <c r="B25" s="79">
        <f t="shared" si="1"/>
        <v>644.70816451822918</v>
      </c>
      <c r="C25" s="80">
        <f t="shared" si="2"/>
        <v>558.80357142857156</v>
      </c>
      <c r="D25" s="79">
        <f t="shared" si="3"/>
        <v>210.17486163294271</v>
      </c>
      <c r="E25" s="41">
        <v>19</v>
      </c>
      <c r="F25" s="79">
        <f t="shared" si="4"/>
        <v>838.12061387369795</v>
      </c>
      <c r="G25" s="79">
        <f t="shared" si="0"/>
        <v>273.22732012282552</v>
      </c>
      <c r="I25" s="37"/>
      <c r="J25" s="19"/>
      <c r="K25" s="8"/>
      <c r="L25" s="129"/>
      <c r="M25" s="8"/>
      <c r="N25" s="8"/>
    </row>
    <row r="26" spans="1:14" x14ac:dyDescent="0.2">
      <c r="A26" s="41">
        <v>18</v>
      </c>
      <c r="B26" s="79">
        <f t="shared" si="1"/>
        <v>610.77615585937508</v>
      </c>
      <c r="C26" s="80">
        <f t="shared" si="2"/>
        <v>529.39285714285711</v>
      </c>
      <c r="D26" s="79">
        <f t="shared" si="3"/>
        <v>199.11302681015627</v>
      </c>
      <c r="E26" s="41">
        <v>18</v>
      </c>
      <c r="F26" s="79">
        <f t="shared" si="4"/>
        <v>794.00900261718755</v>
      </c>
      <c r="G26" s="79">
        <f t="shared" si="0"/>
        <v>258.84693485320315</v>
      </c>
      <c r="I26" s="211" t="s">
        <v>78</v>
      </c>
      <c r="J26" s="211"/>
      <c r="K26" s="212"/>
      <c r="L26" s="215">
        <v>0</v>
      </c>
      <c r="M26" s="8"/>
      <c r="N26" s="8"/>
    </row>
    <row r="27" spans="1:14" ht="15" thickBot="1" x14ac:dyDescent="0.25">
      <c r="A27" s="41">
        <v>17</v>
      </c>
      <c r="B27" s="79">
        <f t="shared" si="1"/>
        <v>576.84414720052087</v>
      </c>
      <c r="C27" s="80">
        <f t="shared" si="2"/>
        <v>499.98214285714289</v>
      </c>
      <c r="D27" s="79">
        <f t="shared" si="3"/>
        <v>188.0511919873698</v>
      </c>
      <c r="E27" s="41">
        <v>17</v>
      </c>
      <c r="F27" s="79">
        <f t="shared" si="4"/>
        <v>749.89739136067715</v>
      </c>
      <c r="G27" s="79">
        <f t="shared" si="0"/>
        <v>244.46654958358076</v>
      </c>
      <c r="I27" s="211"/>
      <c r="J27" s="211"/>
      <c r="K27" s="212"/>
      <c r="L27" s="216"/>
      <c r="M27" s="8"/>
      <c r="N27" s="8"/>
    </row>
    <row r="28" spans="1:14" ht="15" thickBot="1" x14ac:dyDescent="0.25">
      <c r="A28" s="41">
        <v>16</v>
      </c>
      <c r="B28" s="79">
        <f t="shared" si="1"/>
        <v>542.91213854166676</v>
      </c>
      <c r="C28" s="80">
        <f t="shared" si="2"/>
        <v>470.57142857142856</v>
      </c>
      <c r="D28" s="79">
        <f t="shared" si="3"/>
        <v>176.98935716458337</v>
      </c>
      <c r="E28" s="41">
        <v>16</v>
      </c>
      <c r="F28" s="79">
        <f t="shared" si="4"/>
        <v>705.78578010416663</v>
      </c>
      <c r="G28" s="79">
        <f t="shared" si="0"/>
        <v>230.08616431395834</v>
      </c>
      <c r="I28" s="37"/>
      <c r="J28" s="19"/>
      <c r="K28" s="8"/>
      <c r="L28" s="129"/>
      <c r="M28" s="8"/>
      <c r="N28" s="8"/>
    </row>
    <row r="29" spans="1:14" x14ac:dyDescent="0.2">
      <c r="A29" s="41">
        <v>15</v>
      </c>
      <c r="B29" s="79">
        <f t="shared" si="1"/>
        <v>508.98012988281255</v>
      </c>
      <c r="C29" s="80">
        <f t="shared" si="2"/>
        <v>441.16071428571433</v>
      </c>
      <c r="D29" s="79">
        <f t="shared" si="3"/>
        <v>165.9275223417969</v>
      </c>
      <c r="E29" s="41">
        <v>15</v>
      </c>
      <c r="F29" s="79">
        <f t="shared" si="4"/>
        <v>661.67416884765623</v>
      </c>
      <c r="G29" s="79">
        <f t="shared" si="0"/>
        <v>215.70577904433594</v>
      </c>
      <c r="I29" s="217" t="s">
        <v>74</v>
      </c>
      <c r="J29" s="218"/>
      <c r="K29" s="218"/>
      <c r="L29" s="219"/>
      <c r="M29" s="8"/>
      <c r="N29" s="8"/>
    </row>
    <row r="30" spans="1:14" ht="15" thickBot="1" x14ac:dyDescent="0.25">
      <c r="A30" s="41">
        <v>14</v>
      </c>
      <c r="B30" s="79">
        <f t="shared" si="1"/>
        <v>475.04812122395833</v>
      </c>
      <c r="C30" s="80">
        <f t="shared" si="2"/>
        <v>411.75</v>
      </c>
      <c r="D30" s="79">
        <f t="shared" si="3"/>
        <v>154.86568751901044</v>
      </c>
      <c r="E30" s="41">
        <v>14</v>
      </c>
      <c r="F30" s="79">
        <f t="shared" si="4"/>
        <v>617.56255759114583</v>
      </c>
      <c r="G30" s="79">
        <f t="shared" si="0"/>
        <v>201.32539377471355</v>
      </c>
      <c r="I30" s="220"/>
      <c r="J30" s="221"/>
      <c r="K30" s="221"/>
      <c r="L30" s="222"/>
      <c r="M30" s="8"/>
      <c r="N30" s="8"/>
    </row>
    <row r="31" spans="1:14" ht="15" thickBot="1" x14ac:dyDescent="0.25">
      <c r="A31" s="41">
        <v>13</v>
      </c>
      <c r="B31" s="79">
        <f t="shared" si="1"/>
        <v>441.11611256510423</v>
      </c>
      <c r="C31" s="80">
        <f t="shared" si="2"/>
        <v>382.33928571428578</v>
      </c>
      <c r="D31" s="79">
        <f t="shared" si="3"/>
        <v>143.803852696224</v>
      </c>
      <c r="E31" s="41">
        <v>13</v>
      </c>
      <c r="F31" s="79">
        <f t="shared" si="4"/>
        <v>573.45094633463543</v>
      </c>
      <c r="G31" s="79">
        <f t="shared" si="0"/>
        <v>186.94500850509115</v>
      </c>
      <c r="I31" s="156" t="s">
        <v>79</v>
      </c>
      <c r="J31" s="154" t="s">
        <v>63</v>
      </c>
      <c r="K31" s="152" t="s">
        <v>80</v>
      </c>
      <c r="L31" s="136" t="s">
        <v>65</v>
      </c>
      <c r="M31" s="8"/>
      <c r="N31" s="8"/>
    </row>
    <row r="32" spans="1:14" x14ac:dyDescent="0.2">
      <c r="A32" s="41">
        <v>12</v>
      </c>
      <c r="B32" s="79">
        <f t="shared" si="1"/>
        <v>407.18410390625002</v>
      </c>
      <c r="C32" s="80">
        <f t="shared" si="2"/>
        <v>352.92857142857144</v>
      </c>
      <c r="D32" s="79">
        <f t="shared" si="3"/>
        <v>132.7420178734375</v>
      </c>
      <c r="E32" s="41">
        <v>12</v>
      </c>
      <c r="F32" s="79">
        <f t="shared" si="4"/>
        <v>529.33933507812503</v>
      </c>
      <c r="G32" s="79">
        <f t="shared" si="0"/>
        <v>172.56462323546876</v>
      </c>
      <c r="I32" s="203">
        <f>((L23/40*7.5*5)/7)*30*$C$46</f>
        <v>0</v>
      </c>
      <c r="J32" s="205">
        <f>IF(L26&lt;I32,I32,L26)</f>
        <v>0</v>
      </c>
      <c r="K32" s="207">
        <v>32.6</v>
      </c>
      <c r="L32" s="209">
        <f>J32*K32%</f>
        <v>0</v>
      </c>
      <c r="M32" s="8"/>
      <c r="N32" s="8"/>
    </row>
    <row r="33" spans="1:14" ht="15" thickBot="1" x14ac:dyDescent="0.25">
      <c r="A33" s="41">
        <v>11</v>
      </c>
      <c r="B33" s="79">
        <f t="shared" si="1"/>
        <v>373.25209524739586</v>
      </c>
      <c r="C33" s="80">
        <f t="shared" si="2"/>
        <v>323.51785714285717</v>
      </c>
      <c r="D33" s="79">
        <f t="shared" si="3"/>
        <v>121.68018305065105</v>
      </c>
      <c r="E33" s="41">
        <v>11</v>
      </c>
      <c r="F33" s="79">
        <f t="shared" si="4"/>
        <v>485.22772382161457</v>
      </c>
      <c r="G33" s="79">
        <f t="shared" si="0"/>
        <v>158.18423796584636</v>
      </c>
      <c r="I33" s="204"/>
      <c r="J33" s="206"/>
      <c r="K33" s="208"/>
      <c r="L33" s="210"/>
      <c r="M33" s="8"/>
      <c r="N33" s="8"/>
    </row>
    <row r="34" spans="1:14" ht="15" thickBot="1" x14ac:dyDescent="0.25">
      <c r="A34" s="41">
        <v>10</v>
      </c>
      <c r="B34" s="79">
        <f t="shared" si="1"/>
        <v>339.3200865885417</v>
      </c>
      <c r="C34" s="80">
        <f t="shared" si="2"/>
        <v>294.10714285714283</v>
      </c>
      <c r="D34" s="79">
        <f t="shared" si="3"/>
        <v>110.6183482278646</v>
      </c>
      <c r="E34" s="41">
        <v>10</v>
      </c>
      <c r="F34" s="79">
        <f t="shared" si="4"/>
        <v>441.11611256510412</v>
      </c>
      <c r="G34" s="79">
        <f t="shared" si="0"/>
        <v>143.80385269622394</v>
      </c>
      <c r="I34" s="198" t="s">
        <v>75</v>
      </c>
      <c r="J34" s="199"/>
      <c r="K34" s="200"/>
      <c r="L34" s="147">
        <f>SUM(L32)</f>
        <v>0</v>
      </c>
      <c r="M34" s="8"/>
      <c r="N34" s="8"/>
    </row>
    <row r="35" spans="1:14" x14ac:dyDescent="0.2">
      <c r="A35" s="41">
        <v>9</v>
      </c>
      <c r="B35" s="79">
        <f t="shared" si="1"/>
        <v>305.38807792968754</v>
      </c>
      <c r="C35" s="80">
        <f t="shared" si="2"/>
        <v>264.69642857142856</v>
      </c>
      <c r="D35" s="79">
        <f t="shared" si="3"/>
        <v>99.556513405078135</v>
      </c>
      <c r="E35" s="41">
        <v>9</v>
      </c>
      <c r="F35" s="79">
        <f t="shared" si="4"/>
        <v>397.00450130859377</v>
      </c>
      <c r="G35" s="79">
        <f t="shared" si="0"/>
        <v>129.42346742660158</v>
      </c>
      <c r="I35" s="37"/>
      <c r="J35" s="19"/>
      <c r="K35" s="8"/>
      <c r="L35" s="129"/>
      <c r="M35" s="8"/>
      <c r="N35" s="155"/>
    </row>
    <row r="36" spans="1:14" x14ac:dyDescent="0.2">
      <c r="A36" s="41">
        <v>8</v>
      </c>
      <c r="B36" s="79">
        <f t="shared" si="1"/>
        <v>271.45606927083338</v>
      </c>
      <c r="C36" s="80">
        <f t="shared" si="2"/>
        <v>235.28571428571428</v>
      </c>
      <c r="D36" s="79">
        <f t="shared" si="3"/>
        <v>88.494678582291684</v>
      </c>
      <c r="E36" s="41">
        <v>8</v>
      </c>
      <c r="F36" s="79">
        <f t="shared" si="4"/>
        <v>352.89289005208332</v>
      </c>
      <c r="G36" s="79">
        <f t="shared" si="0"/>
        <v>115.04308215697917</v>
      </c>
      <c r="I36" s="201" t="s">
        <v>77</v>
      </c>
      <c r="J36" s="201"/>
      <c r="K36" s="201"/>
      <c r="L36" s="201"/>
      <c r="M36" s="202" t="s">
        <v>76</v>
      </c>
      <c r="N36" s="155"/>
    </row>
    <row r="37" spans="1:14" x14ac:dyDescent="0.2">
      <c r="A37" s="41">
        <v>7</v>
      </c>
      <c r="B37" s="79">
        <f t="shared" si="1"/>
        <v>237.52406061197917</v>
      </c>
      <c r="C37" s="80">
        <f t="shared" si="2"/>
        <v>205.875</v>
      </c>
      <c r="D37" s="79">
        <f t="shared" si="3"/>
        <v>77.432843759505218</v>
      </c>
      <c r="E37" s="41">
        <v>7</v>
      </c>
      <c r="F37" s="79">
        <f t="shared" si="4"/>
        <v>308.78127879557292</v>
      </c>
      <c r="G37" s="79">
        <f t="shared" si="0"/>
        <v>100.66269688735677</v>
      </c>
      <c r="I37" s="201"/>
      <c r="J37" s="201"/>
      <c r="K37" s="201"/>
      <c r="L37" s="201"/>
      <c r="M37" s="202"/>
      <c r="N37" s="155"/>
    </row>
    <row r="38" spans="1:14" x14ac:dyDescent="0.2">
      <c r="A38" s="41">
        <v>6</v>
      </c>
      <c r="B38" s="79">
        <f t="shared" si="1"/>
        <v>203.59205195312501</v>
      </c>
      <c r="C38" s="80">
        <f t="shared" si="2"/>
        <v>176.46428571428572</v>
      </c>
      <c r="D38" s="79">
        <f t="shared" si="3"/>
        <v>66.371008936718752</v>
      </c>
      <c r="E38" s="41">
        <v>6</v>
      </c>
      <c r="F38" s="79">
        <f t="shared" si="4"/>
        <v>264.66966753906252</v>
      </c>
      <c r="G38" s="79">
        <f t="shared" si="0"/>
        <v>86.282311617734379</v>
      </c>
      <c r="I38" s="5"/>
    </row>
    <row r="39" spans="1:14" x14ac:dyDescent="0.2">
      <c r="A39" s="41">
        <v>5</v>
      </c>
      <c r="B39" s="79">
        <f t="shared" si="1"/>
        <v>169.66004329427085</v>
      </c>
      <c r="C39" s="80">
        <f t="shared" si="2"/>
        <v>147.05357142857142</v>
      </c>
      <c r="D39" s="79">
        <f t="shared" si="3"/>
        <v>55.309174113932301</v>
      </c>
      <c r="E39" s="41">
        <v>5</v>
      </c>
      <c r="F39" s="79">
        <f t="shared" si="4"/>
        <v>220.55805628255206</v>
      </c>
      <c r="G39" s="79">
        <f t="shared" si="0"/>
        <v>71.901926348111971</v>
      </c>
      <c r="I39" s="5"/>
    </row>
    <row r="40" spans="1:14" x14ac:dyDescent="0.2">
      <c r="A40" s="41">
        <v>4</v>
      </c>
      <c r="B40" s="79">
        <f t="shared" si="1"/>
        <v>135.72803463541669</v>
      </c>
      <c r="C40" s="80">
        <f t="shared" si="2"/>
        <v>117.64285714285714</v>
      </c>
      <c r="D40" s="79">
        <f t="shared" si="3"/>
        <v>44.247339291145842</v>
      </c>
      <c r="E40" s="41">
        <v>4</v>
      </c>
      <c r="F40" s="79">
        <f t="shared" si="4"/>
        <v>176.44644502604166</v>
      </c>
      <c r="G40" s="79">
        <f t="shared" si="0"/>
        <v>57.521541078489584</v>
      </c>
      <c r="I40" s="5"/>
    </row>
    <row r="41" spans="1:14" x14ac:dyDescent="0.2">
      <c r="A41" s="41">
        <v>3</v>
      </c>
      <c r="B41" s="79">
        <f t="shared" si="1"/>
        <v>101.7960259765625</v>
      </c>
      <c r="C41" s="80">
        <f t="shared" si="2"/>
        <v>88.232142857142861</v>
      </c>
      <c r="D41" s="79">
        <f t="shared" si="3"/>
        <v>33.185504468359376</v>
      </c>
      <c r="E41" s="41">
        <v>3</v>
      </c>
      <c r="F41" s="79">
        <f t="shared" si="4"/>
        <v>132.33483376953126</v>
      </c>
      <c r="G41" s="79">
        <f t="shared" si="0"/>
        <v>43.14115580886719</v>
      </c>
      <c r="I41" s="5"/>
    </row>
    <row r="42" spans="1:14" x14ac:dyDescent="0.2">
      <c r="A42" s="41">
        <v>2</v>
      </c>
      <c r="B42" s="79">
        <f t="shared" si="1"/>
        <v>67.864017317708345</v>
      </c>
      <c r="C42" s="80">
        <f t="shared" si="2"/>
        <v>58.821428571428569</v>
      </c>
      <c r="D42" s="79">
        <f t="shared" si="3"/>
        <v>22.123669645572921</v>
      </c>
      <c r="E42" s="41">
        <v>2</v>
      </c>
      <c r="F42" s="79">
        <f t="shared" si="4"/>
        <v>88.223222513020829</v>
      </c>
      <c r="G42" s="79">
        <f t="shared" si="0"/>
        <v>28.760770539244792</v>
      </c>
      <c r="I42" s="5"/>
    </row>
    <row r="43" spans="1:14" x14ac:dyDescent="0.2">
      <c r="A43" s="42">
        <v>1</v>
      </c>
      <c r="B43" s="81">
        <f t="shared" si="1"/>
        <v>33.932008658854173</v>
      </c>
      <c r="C43" s="82">
        <f t="shared" si="2"/>
        <v>29.410714285714285</v>
      </c>
      <c r="D43" s="81">
        <f t="shared" si="3"/>
        <v>11.06183482278646</v>
      </c>
      <c r="E43" s="42">
        <v>1</v>
      </c>
      <c r="F43" s="81">
        <f t="shared" si="4"/>
        <v>44.111611256510415</v>
      </c>
      <c r="G43" s="81">
        <f t="shared" si="0"/>
        <v>14.380385269622396</v>
      </c>
      <c r="I43" s="5"/>
    </row>
    <row r="46" spans="1:14" s="8" customFormat="1" ht="26.25" hidden="1" thickBot="1" x14ac:dyDescent="0.25">
      <c r="A46" s="33"/>
      <c r="B46" s="113" t="s">
        <v>16</v>
      </c>
      <c r="C46" s="114">
        <v>7.32</v>
      </c>
      <c r="D46" s="115"/>
      <c r="E46" s="17"/>
      <c r="F46" s="115"/>
      <c r="G46" s="115"/>
      <c r="I46" s="19"/>
    </row>
  </sheetData>
  <sheetProtection algorithmName="SHA-512" hashValue="5OwC9bilZpIaHpbGvJNZrO655g9GkCbqLyTeKSL5ZwYpAiiUjXeZ6K7QdvBKqeLmNTz4nPIiABTrkQoZMonziw==" saltValue="1zKAcpGX3VmZRx6moOE//Q==" spinCount="100000" sheet="1" objects="1" scenarios="1"/>
  <protectedRanges>
    <protectedRange sqref="M36" name="CALCULO RC"/>
    <protectedRange sqref="L26" name="RET TP"/>
    <protectedRange sqref="L23" name="DED"/>
    <protectedRange sqref="L8" name="RET TC"/>
  </protectedRanges>
  <mergeCells count="35">
    <mergeCell ref="I34:K34"/>
    <mergeCell ref="I36:L37"/>
    <mergeCell ref="M36:M37"/>
    <mergeCell ref="I20:M21"/>
    <mergeCell ref="I29:L30"/>
    <mergeCell ref="I32:I33"/>
    <mergeCell ref="J32:J33"/>
    <mergeCell ref="K32:K33"/>
    <mergeCell ref="L32:L33"/>
    <mergeCell ref="I23:K24"/>
    <mergeCell ref="L23:L24"/>
    <mergeCell ref="I26:K27"/>
    <mergeCell ref="L26:L27"/>
    <mergeCell ref="I16:I17"/>
    <mergeCell ref="J16:J17"/>
    <mergeCell ref="K16:K17"/>
    <mergeCell ref="L16:L17"/>
    <mergeCell ref="I18:J18"/>
    <mergeCell ref="I8:K9"/>
    <mergeCell ref="L8:L9"/>
    <mergeCell ref="I11:L12"/>
    <mergeCell ref="I14:I15"/>
    <mergeCell ref="J14:J15"/>
    <mergeCell ref="K14:K15"/>
    <mergeCell ref="L14:L15"/>
    <mergeCell ref="I4:I5"/>
    <mergeCell ref="J4:J5"/>
    <mergeCell ref="K4:K5"/>
    <mergeCell ref="L4:L5"/>
    <mergeCell ref="M4:M5"/>
    <mergeCell ref="A1:G1"/>
    <mergeCell ref="B2:D2"/>
    <mergeCell ref="F2:G2"/>
    <mergeCell ref="I2:K2"/>
    <mergeCell ref="L2:M2"/>
  </mergeCells>
  <phoneticPr fontId="0" type="noConversion"/>
  <hyperlinks>
    <hyperlink ref="M36:M37" r:id="rId1" display="CALCULO RC"/>
  </hyperlinks>
  <pageMargins left="0.94488188976377963" right="0.94488188976377963" top="0" bottom="0.39370078740157483" header="0" footer="0"/>
  <pageSetup paperSize="9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46"/>
  <sheetViews>
    <sheetView topLeftCell="A10" zoomScaleNormal="100" workbookViewId="0">
      <selection activeCell="B21" sqref="B21"/>
    </sheetView>
  </sheetViews>
  <sheetFormatPr baseColWidth="10" defaultRowHeight="12.75" x14ac:dyDescent="0.2"/>
  <cols>
    <col min="1" max="1" width="25.140625" style="1" bestFit="1" customWidth="1"/>
    <col min="2" max="2" width="33.5703125" style="90" customWidth="1"/>
    <col min="3" max="3" width="16.7109375" style="91" hidden="1" customWidth="1"/>
    <col min="4" max="4" width="31.28515625" style="90" customWidth="1"/>
    <col min="5" max="5" width="11.42578125" style="2" customWidth="1"/>
    <col min="6" max="6" width="21.28515625" style="2" customWidth="1"/>
    <col min="7" max="7" width="26" style="2" customWidth="1"/>
    <col min="8" max="8" width="26.85546875" style="2" customWidth="1"/>
    <col min="9" max="9" width="16.140625" style="2" bestFit="1" customWidth="1"/>
    <col min="10" max="10" width="15.140625" style="2" bestFit="1" customWidth="1"/>
    <col min="11" max="173" width="11.42578125" style="2"/>
  </cols>
  <sheetData>
    <row r="1" spans="1:173" s="8" customFormat="1" ht="65.25" customHeight="1" x14ac:dyDescent="0.2">
      <c r="A1" s="233" t="s">
        <v>55</v>
      </c>
      <c r="B1" s="233"/>
      <c r="C1" s="233"/>
      <c r="D1" s="233"/>
      <c r="E1" s="17"/>
      <c r="F1" s="17"/>
      <c r="G1" s="17"/>
      <c r="H1" s="20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</row>
    <row r="2" spans="1:173" s="27" customFormat="1" ht="25.5" customHeight="1" x14ac:dyDescent="0.2">
      <c r="A2" s="83" t="s">
        <v>45</v>
      </c>
      <c r="B2" s="88" t="s">
        <v>46</v>
      </c>
      <c r="C2" s="89" t="s">
        <v>15</v>
      </c>
      <c r="D2" s="92" t="s">
        <v>50</v>
      </c>
      <c r="E2" s="87"/>
      <c r="F2" s="272" t="s">
        <v>58</v>
      </c>
      <c r="G2" s="273"/>
      <c r="H2" s="274"/>
      <c r="I2" s="272" t="s">
        <v>62</v>
      </c>
      <c r="J2" s="274"/>
      <c r="K2" s="38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</row>
    <row r="3" spans="1:173" s="84" customFormat="1" ht="15" customHeight="1" x14ac:dyDescent="0.2">
      <c r="A3" s="40">
        <v>40</v>
      </c>
      <c r="B3" s="77">
        <f>PARAMETROS!B8</f>
        <v>2185.8546666666671</v>
      </c>
      <c r="C3" s="78"/>
      <c r="D3" s="77">
        <f>I18</f>
        <v>712.58709999999996</v>
      </c>
      <c r="E3" s="36"/>
      <c r="F3" s="141" t="s">
        <v>57</v>
      </c>
      <c r="G3" s="141" t="s">
        <v>68</v>
      </c>
      <c r="H3" s="141" t="s">
        <v>69</v>
      </c>
      <c r="I3" s="142" t="s">
        <v>60</v>
      </c>
      <c r="J3" s="141" t="s">
        <v>61</v>
      </c>
      <c r="K3" s="27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</row>
    <row r="4" spans="1:173" s="85" customFormat="1" ht="15" customHeight="1" x14ac:dyDescent="0.2">
      <c r="A4" s="41">
        <v>39</v>
      </c>
      <c r="B4" s="79">
        <f>PRODUCT(PARAMETROS!B$8,A4)/A$3</f>
        <v>2131.2083000000002</v>
      </c>
      <c r="C4" s="80">
        <f>(A4/$A$3*7.5*5)/7*30*$C$46</f>
        <v>991.88839285714278</v>
      </c>
      <c r="D4" s="79">
        <f>IF(B4&lt;C4,C4*$H$18%,B4*$H$18%)</f>
        <v>694.77390580000008</v>
      </c>
      <c r="E4" s="36"/>
      <c r="F4" s="275">
        <v>5</v>
      </c>
      <c r="G4" s="277">
        <v>1050</v>
      </c>
      <c r="H4" s="277">
        <v>4070.1</v>
      </c>
      <c r="I4" s="279">
        <v>1050</v>
      </c>
      <c r="J4" s="279">
        <v>4070.1</v>
      </c>
      <c r="K4" s="8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</row>
    <row r="5" spans="1:173" s="85" customFormat="1" ht="15" customHeight="1" x14ac:dyDescent="0.2">
      <c r="A5" s="41">
        <v>38</v>
      </c>
      <c r="B5" s="79">
        <f>PRODUCT(PARAMETROS!B$8,A5)/A$3</f>
        <v>2076.5619333333334</v>
      </c>
      <c r="C5" s="80">
        <f t="shared" ref="C5:C42" si="0">(A5/$A$3*7.5*5)/7*30*$C$46</f>
        <v>966.45535714285722</v>
      </c>
      <c r="D5" s="79">
        <f t="shared" ref="D5:D42" si="1">IF(B5&lt;C5,C5*$H$18%,B5*$H$18%)</f>
        <v>676.95919026666672</v>
      </c>
      <c r="E5" s="36"/>
      <c r="F5" s="276"/>
      <c r="G5" s="278"/>
      <c r="H5" s="278"/>
      <c r="I5" s="280"/>
      <c r="J5" s="280"/>
      <c r="K5" s="8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</row>
    <row r="6" spans="1:173" s="85" customFormat="1" ht="15" customHeight="1" x14ac:dyDescent="0.2">
      <c r="A6" s="41">
        <v>37</v>
      </c>
      <c r="B6" s="79">
        <f>PRODUCT(PARAMETROS!B$8,A6)/A$3</f>
        <v>2021.915566666667</v>
      </c>
      <c r="C6" s="80">
        <f t="shared" si="0"/>
        <v>941.02232142857156</v>
      </c>
      <c r="D6" s="79">
        <f t="shared" si="1"/>
        <v>659.14447473333348</v>
      </c>
      <c r="E6" s="36"/>
      <c r="F6" s="37"/>
      <c r="G6" s="8"/>
      <c r="H6" s="8"/>
      <c r="I6" s="129"/>
      <c r="J6" s="8"/>
      <c r="K6" s="8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</row>
    <row r="7" spans="1:173" s="85" customFormat="1" ht="15" customHeight="1" thickBot="1" x14ac:dyDescent="0.25">
      <c r="A7" s="41">
        <v>36</v>
      </c>
      <c r="B7" s="79">
        <f>PRODUCT(PARAMETROS!B$8,A7)/A$3</f>
        <v>1967.2692000000002</v>
      </c>
      <c r="C7" s="80">
        <f t="shared" si="0"/>
        <v>915.58928571428567</v>
      </c>
      <c r="D7" s="79">
        <f t="shared" si="1"/>
        <v>641.32975920000013</v>
      </c>
      <c r="E7" s="36"/>
      <c r="F7" s="37"/>
      <c r="G7" s="19"/>
      <c r="H7" s="8"/>
      <c r="I7" s="129"/>
      <c r="J7" s="8"/>
      <c r="K7" s="8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</row>
    <row r="8" spans="1:173" s="85" customFormat="1" ht="15" customHeight="1" x14ac:dyDescent="0.2">
      <c r="A8" s="41">
        <v>35</v>
      </c>
      <c r="B8" s="79">
        <f>PRODUCT(PARAMETROS!B$8,A8)/A$3</f>
        <v>1912.6228333333336</v>
      </c>
      <c r="C8" s="80">
        <f t="shared" si="0"/>
        <v>890.15625</v>
      </c>
      <c r="D8" s="79">
        <f t="shared" si="1"/>
        <v>623.51504366666677</v>
      </c>
      <c r="E8" s="36"/>
      <c r="F8" s="211" t="s">
        <v>72</v>
      </c>
      <c r="G8" s="211"/>
      <c r="H8" s="212"/>
      <c r="I8" s="281">
        <v>2185.85</v>
      </c>
      <c r="J8" s="8"/>
      <c r="K8" s="8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</row>
    <row r="9" spans="1:173" s="85" customFormat="1" ht="15" customHeight="1" thickBot="1" x14ac:dyDescent="0.25">
      <c r="A9" s="41">
        <v>34</v>
      </c>
      <c r="B9" s="79">
        <f>PRODUCT(PARAMETROS!B$8,A9)/A$3</f>
        <v>1857.976466666667</v>
      </c>
      <c r="C9" s="80">
        <f t="shared" si="0"/>
        <v>864.72321428571433</v>
      </c>
      <c r="D9" s="79">
        <f t="shared" si="1"/>
        <v>605.70032813333341</v>
      </c>
      <c r="E9" s="36"/>
      <c r="F9" s="211"/>
      <c r="G9" s="211"/>
      <c r="H9" s="212"/>
      <c r="I9" s="282"/>
      <c r="J9" s="8"/>
      <c r="K9" s="8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</row>
    <row r="10" spans="1:173" s="85" customFormat="1" ht="15" customHeight="1" thickBot="1" x14ac:dyDescent="0.25">
      <c r="A10" s="41">
        <v>33</v>
      </c>
      <c r="B10" s="79">
        <f>PRODUCT(PARAMETROS!B$8,A10)/A$3</f>
        <v>1803.3301000000004</v>
      </c>
      <c r="C10" s="80">
        <f t="shared" si="0"/>
        <v>839.29017857142844</v>
      </c>
      <c r="D10" s="79">
        <f t="shared" si="1"/>
        <v>587.88561260000017</v>
      </c>
      <c r="E10" s="36"/>
      <c r="F10" s="137"/>
      <c r="G10" s="138"/>
      <c r="H10" s="139"/>
      <c r="I10" s="140"/>
      <c r="J10" s="8"/>
      <c r="K10" s="8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</row>
    <row r="11" spans="1:173" s="85" customFormat="1" ht="15" customHeight="1" x14ac:dyDescent="0.2">
      <c r="A11" s="41">
        <v>32</v>
      </c>
      <c r="B11" s="79">
        <f>PRODUCT(PARAMETROS!B$8,A11)/A$3</f>
        <v>1748.6837333333337</v>
      </c>
      <c r="C11" s="80">
        <f t="shared" si="0"/>
        <v>813.85714285714278</v>
      </c>
      <c r="D11" s="79">
        <f t="shared" si="1"/>
        <v>570.07089706666682</v>
      </c>
      <c r="E11" s="36"/>
      <c r="F11" s="217" t="s">
        <v>70</v>
      </c>
      <c r="G11" s="218"/>
      <c r="H11" s="218"/>
      <c r="I11" s="219"/>
      <c r="J11" s="8"/>
      <c r="K11" s="8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</row>
    <row r="12" spans="1:173" s="85" customFormat="1" ht="15" customHeight="1" thickBot="1" x14ac:dyDescent="0.25">
      <c r="A12" s="41">
        <v>31</v>
      </c>
      <c r="B12" s="79">
        <f>PRODUCT(PARAMETROS!B$8,A12)/A$3</f>
        <v>1694.0373666666669</v>
      </c>
      <c r="C12" s="80">
        <f t="shared" si="0"/>
        <v>788.42410714285711</v>
      </c>
      <c r="D12" s="79">
        <f t="shared" si="1"/>
        <v>552.25618153333346</v>
      </c>
      <c r="E12" s="36"/>
      <c r="F12" s="220"/>
      <c r="G12" s="221"/>
      <c r="H12" s="221"/>
      <c r="I12" s="222"/>
      <c r="J12" s="8"/>
      <c r="K12" s="8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</row>
    <row r="13" spans="1:173" s="85" customFormat="1" ht="15" customHeight="1" thickBot="1" x14ac:dyDescent="0.25">
      <c r="A13" s="41">
        <v>30</v>
      </c>
      <c r="B13" s="79">
        <f>PRODUCT(PARAMETROS!B$8,A13)/A$3</f>
        <v>1639.3910000000003</v>
      </c>
      <c r="C13" s="80">
        <f t="shared" si="0"/>
        <v>762.99107142857144</v>
      </c>
      <c r="D13" s="79">
        <f t="shared" si="1"/>
        <v>534.4414660000001</v>
      </c>
      <c r="E13" s="36"/>
      <c r="F13" s="134"/>
      <c r="G13" s="154" t="s">
        <v>63</v>
      </c>
      <c r="H13" s="152" t="s">
        <v>64</v>
      </c>
      <c r="I13" s="165" t="s">
        <v>65</v>
      </c>
      <c r="J13" s="8"/>
      <c r="K13" s="8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</row>
    <row r="14" spans="1:173" s="85" customFormat="1" ht="15" customHeight="1" x14ac:dyDescent="0.2">
      <c r="A14" s="41">
        <v>29</v>
      </c>
      <c r="B14" s="79">
        <f>PRODUCT(PARAMETROS!B$8,A14)/A$3</f>
        <v>1584.7446333333337</v>
      </c>
      <c r="C14" s="80">
        <f t="shared" si="0"/>
        <v>737.55803571428578</v>
      </c>
      <c r="D14" s="79">
        <f t="shared" si="1"/>
        <v>516.62675046666675</v>
      </c>
      <c r="E14" s="36"/>
      <c r="F14" s="228" t="s">
        <v>66</v>
      </c>
      <c r="G14" s="223">
        <f>IF(I8&gt;=G4,I8,G4)</f>
        <v>2185.85</v>
      </c>
      <c r="H14" s="207">
        <v>23.6</v>
      </c>
      <c r="I14" s="209">
        <f>G14*H14%</f>
        <v>515.86059999999998</v>
      </c>
      <c r="J14" s="8"/>
      <c r="K14" s="8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</row>
    <row r="15" spans="1:173" s="85" customFormat="1" ht="15" customHeight="1" thickBot="1" x14ac:dyDescent="0.25">
      <c r="A15" s="41">
        <v>28</v>
      </c>
      <c r="B15" s="79">
        <f>PRODUCT(PARAMETROS!B$8,A15)/A$3</f>
        <v>1530.0982666666671</v>
      </c>
      <c r="C15" s="80">
        <f t="shared" si="0"/>
        <v>712.125</v>
      </c>
      <c r="D15" s="79">
        <f t="shared" si="1"/>
        <v>498.81203493333351</v>
      </c>
      <c r="E15" s="36"/>
      <c r="F15" s="229"/>
      <c r="G15" s="224"/>
      <c r="H15" s="208"/>
      <c r="I15" s="210"/>
      <c r="J15" s="8"/>
      <c r="K15" s="8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</row>
    <row r="16" spans="1:173" s="85" customFormat="1" ht="15" customHeight="1" x14ac:dyDescent="0.2">
      <c r="A16" s="41">
        <v>27</v>
      </c>
      <c r="B16" s="79">
        <f>PRODUCT(PARAMETROS!B$8,A16)/A$3</f>
        <v>1475.4519000000003</v>
      </c>
      <c r="C16" s="80">
        <f t="shared" si="0"/>
        <v>686.69196428571422</v>
      </c>
      <c r="D16" s="79">
        <f t="shared" si="1"/>
        <v>480.99731940000009</v>
      </c>
      <c r="E16" s="36"/>
      <c r="F16" s="228" t="s">
        <v>67</v>
      </c>
      <c r="G16" s="223">
        <f>IF(I8&gt;=I4,I8,I4)</f>
        <v>2185.85</v>
      </c>
      <c r="H16" s="207">
        <v>9</v>
      </c>
      <c r="I16" s="209">
        <f>G16*H16%</f>
        <v>196.72649999999999</v>
      </c>
      <c r="J16" s="8"/>
      <c r="K16" s="8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</row>
    <row r="17" spans="1:173" s="85" customFormat="1" ht="15" customHeight="1" thickBot="1" x14ac:dyDescent="0.25">
      <c r="A17" s="41">
        <v>26</v>
      </c>
      <c r="B17" s="79">
        <f>PRODUCT(PARAMETROS!B$8,A17)/A$3</f>
        <v>1420.8055333333336</v>
      </c>
      <c r="C17" s="80">
        <f t="shared" si="0"/>
        <v>661.25892857142867</v>
      </c>
      <c r="D17" s="79">
        <f t="shared" si="1"/>
        <v>463.1826038666668</v>
      </c>
      <c r="E17" s="36"/>
      <c r="F17" s="229"/>
      <c r="G17" s="224"/>
      <c r="H17" s="208"/>
      <c r="I17" s="210"/>
      <c r="J17" s="8"/>
      <c r="K17" s="8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</row>
    <row r="18" spans="1:173" s="85" customFormat="1" ht="15" customHeight="1" thickBot="1" x14ac:dyDescent="0.25">
      <c r="A18" s="41">
        <v>25</v>
      </c>
      <c r="B18" s="79">
        <f>PRODUCT(PARAMETROS!B$8,A18)/A$3</f>
        <v>1366.1591666666668</v>
      </c>
      <c r="C18" s="80">
        <f t="shared" si="0"/>
        <v>635.82589285714289</v>
      </c>
      <c r="D18" s="79">
        <f t="shared" si="1"/>
        <v>445.36788833333338</v>
      </c>
      <c r="E18" s="36"/>
      <c r="F18" s="241" t="s">
        <v>71</v>
      </c>
      <c r="G18" s="242"/>
      <c r="H18" s="153">
        <f>(H14+H16)</f>
        <v>32.6</v>
      </c>
      <c r="I18" s="147">
        <f>SUM(I14:I17)</f>
        <v>712.58709999999996</v>
      </c>
      <c r="J18" s="8"/>
      <c r="K18" s="8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</row>
    <row r="19" spans="1:173" s="85" customFormat="1" ht="15" customHeight="1" x14ac:dyDescent="0.2">
      <c r="A19" s="41">
        <v>24</v>
      </c>
      <c r="B19" s="79">
        <f>PRODUCT(PARAMETROS!B$8,A19)/A$3</f>
        <v>1311.5128000000002</v>
      </c>
      <c r="C19" s="80">
        <f t="shared" si="0"/>
        <v>610.39285714285711</v>
      </c>
      <c r="D19" s="79">
        <f t="shared" si="1"/>
        <v>427.55317280000008</v>
      </c>
      <c r="E19" s="36"/>
      <c r="F19" s="143"/>
      <c r="G19" s="144"/>
      <c r="H19" s="145"/>
      <c r="I19" s="146"/>
      <c r="J19" s="8"/>
      <c r="K19" s="8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</row>
    <row r="20" spans="1:173" s="85" customFormat="1" ht="15" customHeight="1" x14ac:dyDescent="0.2">
      <c r="A20" s="41">
        <v>23</v>
      </c>
      <c r="B20" s="79">
        <f>PRODUCT(PARAMETROS!B$8,A20)/A$3</f>
        <v>1256.8664333333336</v>
      </c>
      <c r="C20" s="80">
        <f t="shared" si="0"/>
        <v>584.95982142857133</v>
      </c>
      <c r="D20" s="79">
        <f t="shared" si="1"/>
        <v>409.73845726666679</v>
      </c>
      <c r="E20" s="36"/>
      <c r="F20" s="232" t="s">
        <v>87</v>
      </c>
      <c r="G20" s="232"/>
      <c r="H20" s="232"/>
      <c r="I20" s="232"/>
      <c r="J20" s="232"/>
      <c r="K20" s="170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</row>
    <row r="21" spans="1:173" s="85" customFormat="1" ht="15" customHeight="1" x14ac:dyDescent="0.2">
      <c r="A21" s="41">
        <v>22</v>
      </c>
      <c r="B21" s="79">
        <f>PRODUCT(PARAMETROS!B$8,A21)/A$3</f>
        <v>1202.220066666667</v>
      </c>
      <c r="C21" s="80">
        <f t="shared" si="0"/>
        <v>559.52678571428578</v>
      </c>
      <c r="D21" s="79">
        <f t="shared" si="1"/>
        <v>391.92374173333343</v>
      </c>
      <c r="E21" s="36"/>
      <c r="F21" s="232"/>
      <c r="G21" s="232"/>
      <c r="H21" s="232"/>
      <c r="I21" s="232"/>
      <c r="J21" s="232"/>
      <c r="K21" s="170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</row>
    <row r="22" spans="1:173" s="85" customFormat="1" ht="15" customHeight="1" thickBot="1" x14ac:dyDescent="0.25">
      <c r="A22" s="41">
        <v>21</v>
      </c>
      <c r="B22" s="79">
        <f>PRODUCT(PARAMETROS!B$8,A22)/A$3</f>
        <v>1147.5737000000004</v>
      </c>
      <c r="C22" s="80">
        <f t="shared" si="0"/>
        <v>534.09375</v>
      </c>
      <c r="D22" s="79">
        <f t="shared" si="1"/>
        <v>374.10902620000013</v>
      </c>
      <c r="E22" s="36"/>
      <c r="F22" s="37"/>
      <c r="G22" s="19"/>
      <c r="H22" s="8"/>
      <c r="I22" s="129"/>
      <c r="J22" s="8"/>
      <c r="K22" s="8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</row>
    <row r="23" spans="1:173" s="85" customFormat="1" ht="15" customHeight="1" x14ac:dyDescent="0.2">
      <c r="A23" s="41">
        <v>20</v>
      </c>
      <c r="B23" s="79">
        <f>PRODUCT(PARAMETROS!B$8,A23)/A$3</f>
        <v>1092.9273333333335</v>
      </c>
      <c r="C23" s="80">
        <f t="shared" si="0"/>
        <v>508.66071428571422</v>
      </c>
      <c r="D23" s="79">
        <f t="shared" si="1"/>
        <v>356.29431066666672</v>
      </c>
      <c r="E23" s="36"/>
      <c r="F23" s="211" t="s">
        <v>73</v>
      </c>
      <c r="G23" s="211"/>
      <c r="H23" s="212"/>
      <c r="I23" s="257">
        <v>0</v>
      </c>
      <c r="J23" s="8"/>
      <c r="K23" s="8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</row>
    <row r="24" spans="1:173" s="85" customFormat="1" ht="15" customHeight="1" thickBot="1" x14ac:dyDescent="0.25">
      <c r="A24" s="41">
        <v>19</v>
      </c>
      <c r="B24" s="79">
        <f>PRODUCT(PARAMETROS!B$8,A24)/A$3</f>
        <v>1038.2809666666667</v>
      </c>
      <c r="C24" s="80">
        <f t="shared" si="0"/>
        <v>483.22767857142861</v>
      </c>
      <c r="D24" s="79">
        <f t="shared" si="1"/>
        <v>338.47959513333336</v>
      </c>
      <c r="E24" s="36"/>
      <c r="F24" s="211"/>
      <c r="G24" s="211"/>
      <c r="H24" s="212"/>
      <c r="I24" s="258"/>
      <c r="J24" s="8"/>
      <c r="K24" s="8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</row>
    <row r="25" spans="1:173" s="85" customFormat="1" ht="15" customHeight="1" thickBot="1" x14ac:dyDescent="0.25">
      <c r="A25" s="41">
        <v>18</v>
      </c>
      <c r="B25" s="79">
        <f>PRODUCT(PARAMETROS!B$8,A25)/A$3</f>
        <v>983.63460000000009</v>
      </c>
      <c r="C25" s="80">
        <f t="shared" si="0"/>
        <v>457.79464285714283</v>
      </c>
      <c r="D25" s="79">
        <f t="shared" si="1"/>
        <v>320.66487960000006</v>
      </c>
      <c r="E25" s="36"/>
      <c r="F25" s="37"/>
      <c r="G25" s="19"/>
      <c r="H25" s="8"/>
      <c r="I25" s="129"/>
      <c r="J25" s="8"/>
      <c r="K25" s="8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</row>
    <row r="26" spans="1:173" s="85" customFormat="1" ht="15" customHeight="1" x14ac:dyDescent="0.2">
      <c r="A26" s="41">
        <v>17</v>
      </c>
      <c r="B26" s="79">
        <f>PRODUCT(PARAMETROS!B$8,A26)/A$3</f>
        <v>928.98823333333348</v>
      </c>
      <c r="C26" s="80">
        <f t="shared" si="0"/>
        <v>432.36160714285717</v>
      </c>
      <c r="D26" s="79">
        <f t="shared" si="1"/>
        <v>302.85016406666671</v>
      </c>
      <c r="E26" s="36"/>
      <c r="F26" s="211" t="s">
        <v>78</v>
      </c>
      <c r="G26" s="211"/>
      <c r="H26" s="212"/>
      <c r="I26" s="281">
        <v>0</v>
      </c>
      <c r="J26" s="8"/>
      <c r="K26" s="8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</row>
    <row r="27" spans="1:173" s="85" customFormat="1" ht="15" customHeight="1" thickBot="1" x14ac:dyDescent="0.25">
      <c r="A27" s="41">
        <v>16</v>
      </c>
      <c r="B27" s="79">
        <f>PRODUCT(PARAMETROS!B$8,A27)/A$3</f>
        <v>874.34186666666687</v>
      </c>
      <c r="C27" s="80">
        <f t="shared" si="0"/>
        <v>406.92857142857139</v>
      </c>
      <c r="D27" s="79">
        <f t="shared" si="1"/>
        <v>285.03544853333341</v>
      </c>
      <c r="E27" s="36"/>
      <c r="F27" s="211"/>
      <c r="G27" s="211"/>
      <c r="H27" s="212"/>
      <c r="I27" s="282"/>
      <c r="J27" s="8"/>
      <c r="K27" s="8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</row>
    <row r="28" spans="1:173" s="85" customFormat="1" ht="15" customHeight="1" thickBot="1" x14ac:dyDescent="0.25">
      <c r="A28" s="41">
        <v>15</v>
      </c>
      <c r="B28" s="79">
        <f>PRODUCT(PARAMETROS!B$8,A28)/A$3</f>
        <v>819.69550000000015</v>
      </c>
      <c r="C28" s="80">
        <f t="shared" si="0"/>
        <v>381.49553571428572</v>
      </c>
      <c r="D28" s="79">
        <f t="shared" si="1"/>
        <v>267.22073300000005</v>
      </c>
      <c r="E28" s="36"/>
      <c r="F28" s="37"/>
      <c r="G28" s="19"/>
      <c r="H28" s="8"/>
      <c r="I28" s="129"/>
      <c r="J28" s="8"/>
      <c r="K28" s="8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</row>
    <row r="29" spans="1:173" s="85" customFormat="1" ht="15" customHeight="1" x14ac:dyDescent="0.2">
      <c r="A29" s="41">
        <v>14</v>
      </c>
      <c r="B29" s="79">
        <f>PRODUCT(PARAMETROS!B$8,A29)/A$3</f>
        <v>765.04913333333354</v>
      </c>
      <c r="C29" s="80">
        <f t="shared" si="0"/>
        <v>356.0625</v>
      </c>
      <c r="D29" s="79">
        <f t="shared" si="1"/>
        <v>249.40601746666675</v>
      </c>
      <c r="E29" s="36"/>
      <c r="F29" s="217" t="s">
        <v>74</v>
      </c>
      <c r="G29" s="218"/>
      <c r="H29" s="218"/>
      <c r="I29" s="219"/>
      <c r="J29" s="8"/>
      <c r="K29" s="8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</row>
    <row r="30" spans="1:173" s="85" customFormat="1" ht="15" customHeight="1" thickBot="1" x14ac:dyDescent="0.25">
      <c r="A30" s="41">
        <v>13</v>
      </c>
      <c r="B30" s="79">
        <f>PRODUCT(PARAMETROS!B$8,A30)/A$3</f>
        <v>710.40276666666682</v>
      </c>
      <c r="C30" s="80">
        <f t="shared" si="0"/>
        <v>330.62946428571433</v>
      </c>
      <c r="D30" s="79">
        <f t="shared" si="1"/>
        <v>231.5913019333334</v>
      </c>
      <c r="E30" s="36"/>
      <c r="F30" s="220"/>
      <c r="G30" s="221"/>
      <c r="H30" s="221"/>
      <c r="I30" s="222"/>
      <c r="J30" s="8"/>
      <c r="K30" s="8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</row>
    <row r="31" spans="1:173" s="85" customFormat="1" ht="15" customHeight="1" thickBot="1" x14ac:dyDescent="0.25">
      <c r="A31" s="41">
        <v>12</v>
      </c>
      <c r="B31" s="79">
        <f>PRODUCT(PARAMETROS!B$8,A31)/A$3</f>
        <v>655.7564000000001</v>
      </c>
      <c r="C31" s="80">
        <f t="shared" si="0"/>
        <v>305.19642857142856</v>
      </c>
      <c r="D31" s="79">
        <f t="shared" si="1"/>
        <v>213.77658640000004</v>
      </c>
      <c r="E31" s="36"/>
      <c r="F31" s="156" t="s">
        <v>79</v>
      </c>
      <c r="G31" s="154" t="s">
        <v>63</v>
      </c>
      <c r="H31" s="152" t="s">
        <v>80</v>
      </c>
      <c r="I31" s="136" t="s">
        <v>65</v>
      </c>
      <c r="J31" s="8"/>
      <c r="K31" s="8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1:173" s="85" customFormat="1" ht="15" customHeight="1" x14ac:dyDescent="0.2">
      <c r="A32" s="41">
        <v>11</v>
      </c>
      <c r="B32" s="79">
        <f>PRODUCT(PARAMETROS!B$8,A32)/A$3</f>
        <v>601.11003333333349</v>
      </c>
      <c r="C32" s="80">
        <f t="shared" si="0"/>
        <v>279.76339285714289</v>
      </c>
      <c r="D32" s="79">
        <f t="shared" si="1"/>
        <v>195.96187086666671</v>
      </c>
      <c r="E32" s="36"/>
      <c r="F32" s="283">
        <f>((I23/40*7.5*5)/7)*30*$C$46</f>
        <v>0</v>
      </c>
      <c r="G32" s="205">
        <f>IF(I26&lt;F32,F32,I26)</f>
        <v>0</v>
      </c>
      <c r="H32" s="207">
        <v>32.6</v>
      </c>
      <c r="I32" s="209">
        <f>G32*H32%</f>
        <v>0</v>
      </c>
      <c r="J32" s="8"/>
      <c r="K32" s="8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1:173" s="85" customFormat="1" ht="15" customHeight="1" thickBot="1" x14ac:dyDescent="0.25">
      <c r="A33" s="41">
        <v>10</v>
      </c>
      <c r="B33" s="79">
        <f>PRODUCT(PARAMETROS!B$8,A33)/A$3</f>
        <v>546.46366666666677</v>
      </c>
      <c r="C33" s="80">
        <f t="shared" si="0"/>
        <v>254.33035714285711</v>
      </c>
      <c r="D33" s="79">
        <f t="shared" si="1"/>
        <v>178.14715533333336</v>
      </c>
      <c r="E33" s="36"/>
      <c r="F33" s="204"/>
      <c r="G33" s="206"/>
      <c r="H33" s="208"/>
      <c r="I33" s="210"/>
      <c r="J33" s="8"/>
      <c r="K33" s="8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1:173" s="85" customFormat="1" ht="15" customHeight="1" thickBot="1" x14ac:dyDescent="0.25">
      <c r="A34" s="41">
        <v>9</v>
      </c>
      <c r="B34" s="79">
        <f>PRODUCT(PARAMETROS!B$8,A34)/A$3</f>
        <v>491.81730000000005</v>
      </c>
      <c r="C34" s="80">
        <f t="shared" si="0"/>
        <v>228.89732142857142</v>
      </c>
      <c r="D34" s="79">
        <f t="shared" si="1"/>
        <v>160.33243980000003</v>
      </c>
      <c r="E34" s="36"/>
      <c r="F34" s="198" t="s">
        <v>75</v>
      </c>
      <c r="G34" s="199"/>
      <c r="H34" s="200"/>
      <c r="I34" s="147">
        <f>SUM(I32)</f>
        <v>0</v>
      </c>
      <c r="J34" s="8"/>
      <c r="K34" s="8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1:173" s="85" customFormat="1" ht="15" customHeight="1" x14ac:dyDescent="0.2">
      <c r="A35" s="41">
        <v>8</v>
      </c>
      <c r="B35" s="79">
        <f>PRODUCT(PARAMETROS!B$8,A35)/A$3</f>
        <v>437.17093333333344</v>
      </c>
      <c r="C35" s="80">
        <f t="shared" si="0"/>
        <v>203.46428571428569</v>
      </c>
      <c r="D35" s="79">
        <f t="shared" si="1"/>
        <v>142.5177242666667</v>
      </c>
      <c r="E35" s="36"/>
      <c r="F35" s="37"/>
      <c r="G35" s="19"/>
      <c r="H35" s="8"/>
      <c r="I35" s="129"/>
      <c r="J35" s="8"/>
      <c r="K35" s="155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1:173" s="85" customFormat="1" ht="15" customHeight="1" x14ac:dyDescent="0.2">
      <c r="A36" s="41">
        <v>7</v>
      </c>
      <c r="B36" s="79">
        <f>PRODUCT(PARAMETROS!B$8,A36)/A$3</f>
        <v>382.52456666666677</v>
      </c>
      <c r="C36" s="80">
        <f t="shared" si="0"/>
        <v>178.03125</v>
      </c>
      <c r="D36" s="79">
        <f t="shared" si="1"/>
        <v>124.70300873333338</v>
      </c>
      <c r="E36" s="36"/>
      <c r="F36" s="254" t="s">
        <v>77</v>
      </c>
      <c r="G36" s="254"/>
      <c r="H36" s="254"/>
      <c r="I36" s="202" t="s">
        <v>76</v>
      </c>
      <c r="J36" s="36"/>
      <c r="K36" s="155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1:173" s="85" customFormat="1" ht="15" customHeight="1" x14ac:dyDescent="0.2">
      <c r="A37" s="41">
        <v>6</v>
      </c>
      <c r="B37" s="79">
        <f>PRODUCT(PARAMETROS!B$8,A37)/A$3</f>
        <v>327.87820000000005</v>
      </c>
      <c r="C37" s="80">
        <f t="shared" si="0"/>
        <v>152.59821428571428</v>
      </c>
      <c r="D37" s="79">
        <f t="shared" si="1"/>
        <v>106.88829320000002</v>
      </c>
      <c r="E37" s="36"/>
      <c r="F37" s="254"/>
      <c r="G37" s="254"/>
      <c r="H37" s="254"/>
      <c r="I37" s="202"/>
      <c r="J37" s="36"/>
      <c r="K37" s="155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1:173" s="85" customFormat="1" ht="15" customHeight="1" x14ac:dyDescent="0.2">
      <c r="A38" s="41">
        <v>5</v>
      </c>
      <c r="B38" s="79">
        <f>PRODUCT(PARAMETROS!B$8,A38)/A$3</f>
        <v>273.23183333333338</v>
      </c>
      <c r="C38" s="80">
        <f t="shared" si="0"/>
        <v>127.16517857142856</v>
      </c>
      <c r="D38" s="79">
        <f t="shared" si="1"/>
        <v>89.073577666666679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1:173" s="85" customFormat="1" ht="15" customHeight="1" x14ac:dyDescent="0.2">
      <c r="A39" s="41">
        <v>4</v>
      </c>
      <c r="B39" s="79">
        <f>PRODUCT(PARAMETROS!B$8,A39)/A$3</f>
        <v>218.58546666666672</v>
      </c>
      <c r="C39" s="80">
        <f t="shared" si="0"/>
        <v>101.73214285714285</v>
      </c>
      <c r="D39" s="79">
        <f t="shared" si="1"/>
        <v>71.258862133333352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1:173" s="85" customFormat="1" ht="15" customHeight="1" x14ac:dyDescent="0.2">
      <c r="A40" s="41">
        <v>3</v>
      </c>
      <c r="B40" s="79">
        <f>PRODUCT(PARAMETROS!B$8,A40)/A$3</f>
        <v>163.93910000000002</v>
      </c>
      <c r="C40" s="80">
        <f t="shared" si="0"/>
        <v>76.299107142857139</v>
      </c>
      <c r="D40" s="79">
        <f t="shared" si="1"/>
        <v>53.44414660000001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1:173" s="85" customFormat="1" ht="15" customHeight="1" x14ac:dyDescent="0.2">
      <c r="A41" s="41">
        <v>2</v>
      </c>
      <c r="B41" s="79">
        <f>PRODUCT(PARAMETROS!B$8,A41)/A$3</f>
        <v>109.29273333333336</v>
      </c>
      <c r="C41" s="80">
        <f t="shared" si="0"/>
        <v>50.866071428571423</v>
      </c>
      <c r="D41" s="79">
        <f t="shared" si="1"/>
        <v>35.629431066666676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1:173" s="86" customFormat="1" ht="15" customHeight="1" x14ac:dyDescent="0.2">
      <c r="A42" s="42">
        <v>1</v>
      </c>
      <c r="B42" s="81">
        <f>PRODUCT(PARAMETROS!B$8,A42)/A$3</f>
        <v>54.64636666666668</v>
      </c>
      <c r="C42" s="82">
        <f t="shared" si="0"/>
        <v>25.433035714285712</v>
      </c>
      <c r="D42" s="81">
        <f t="shared" si="1"/>
        <v>17.814715533333338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6" spans="1:173" s="8" customFormat="1" ht="26.25" hidden="1" thickBot="1" x14ac:dyDescent="0.25">
      <c r="A46" s="33"/>
      <c r="B46" s="116" t="s">
        <v>34</v>
      </c>
      <c r="C46" s="117">
        <v>6.33</v>
      </c>
      <c r="D46" s="115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</row>
  </sheetData>
  <sheetProtection algorithmName="SHA-512" hashValue="OYwNvOcRC2BGvmSTF62jToqLLRp+PjMroXcCNxojXT2T4VyIFFBshgx2K8EZkq9Wr9cxz67GCQv7Hm7D+F/sGg==" saltValue="CGbCj0dLhRrYGShgAmJ4NQ==" spinCount="100000" sheet="1" objects="1" scenarios="1"/>
  <protectedRanges>
    <protectedRange sqref="I36" name="CALCULO RC"/>
    <protectedRange sqref="I26" name="RET TP"/>
    <protectedRange sqref="I23" name="DED"/>
    <protectedRange sqref="I8" name="RET TC"/>
  </protectedRanges>
  <mergeCells count="33">
    <mergeCell ref="F20:J21"/>
    <mergeCell ref="F36:H37"/>
    <mergeCell ref="F34:H34"/>
    <mergeCell ref="I36:I37"/>
    <mergeCell ref="F29:I30"/>
    <mergeCell ref="F32:F33"/>
    <mergeCell ref="G32:G33"/>
    <mergeCell ref="H32:H33"/>
    <mergeCell ref="I32:I33"/>
    <mergeCell ref="F23:H24"/>
    <mergeCell ref="I23:I24"/>
    <mergeCell ref="F26:H27"/>
    <mergeCell ref="I26:I27"/>
    <mergeCell ref="F16:F17"/>
    <mergeCell ref="G16:G17"/>
    <mergeCell ref="H16:H17"/>
    <mergeCell ref="I16:I17"/>
    <mergeCell ref="F18:G18"/>
    <mergeCell ref="F8:H9"/>
    <mergeCell ref="I8:I9"/>
    <mergeCell ref="F11:I12"/>
    <mergeCell ref="F14:F15"/>
    <mergeCell ref="G14:G15"/>
    <mergeCell ref="H14:H15"/>
    <mergeCell ref="I14:I15"/>
    <mergeCell ref="A1:D1"/>
    <mergeCell ref="F2:H2"/>
    <mergeCell ref="I2:J2"/>
    <mergeCell ref="F4:F5"/>
    <mergeCell ref="G4:G5"/>
    <mergeCell ref="H4:H5"/>
    <mergeCell ref="I4:I5"/>
    <mergeCell ref="J4:J5"/>
  </mergeCells>
  <phoneticPr fontId="0" type="noConversion"/>
  <hyperlinks>
    <hyperlink ref="I36:I37" r:id="rId1" display="CALCULO RC"/>
  </hyperlinks>
  <printOptions horizontalCentered="1"/>
  <pageMargins left="0.94488188976377963" right="0.94488188976377963" top="0" bottom="0.39370078740157483" header="0" footer="0"/>
  <pageSetup paperSize="9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46"/>
  <sheetViews>
    <sheetView topLeftCell="A3" zoomScaleNormal="100" workbookViewId="0">
      <selection activeCell="L23" sqref="L23"/>
    </sheetView>
  </sheetViews>
  <sheetFormatPr baseColWidth="10" defaultRowHeight="12.75" x14ac:dyDescent="0.2"/>
  <cols>
    <col min="1" max="1" width="25.140625" style="1" bestFit="1" customWidth="1"/>
    <col min="2" max="2" width="33.5703125" style="1" customWidth="1"/>
    <col min="3" max="3" width="19.7109375" style="3" hidden="1" customWidth="1"/>
    <col min="4" max="4" width="32.7109375" style="1" customWidth="1"/>
    <col min="5" max="5" width="13.42578125" customWidth="1"/>
    <col min="6" max="6" width="20.28515625" customWidth="1"/>
    <col min="7" max="7" width="26.42578125" bestFit="1" customWidth="1"/>
    <col min="8" max="8" width="26.7109375" customWidth="1"/>
    <col min="9" max="9" width="17" customWidth="1"/>
    <col min="10" max="10" width="15.140625" bestFit="1" customWidth="1"/>
  </cols>
  <sheetData>
    <row r="1" spans="1:170" s="8" customFormat="1" ht="65.25" customHeight="1" x14ac:dyDescent="0.2">
      <c r="A1" s="233" t="s">
        <v>52</v>
      </c>
      <c r="B1" s="233"/>
      <c r="C1" s="233"/>
      <c r="D1" s="233"/>
      <c r="E1" s="20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</row>
    <row r="2" spans="1:170" s="27" customFormat="1" ht="25.5" x14ac:dyDescent="0.2">
      <c r="A2" s="43" t="s">
        <v>45</v>
      </c>
      <c r="B2" s="71" t="s">
        <v>46</v>
      </c>
      <c r="C2" s="93" t="s">
        <v>15</v>
      </c>
      <c r="D2" s="73" t="s">
        <v>50</v>
      </c>
      <c r="E2" s="17"/>
      <c r="F2" s="272" t="s">
        <v>58</v>
      </c>
      <c r="G2" s="273"/>
      <c r="H2" s="274"/>
      <c r="I2" s="272" t="s">
        <v>62</v>
      </c>
      <c r="J2" s="274"/>
      <c r="K2" s="38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</row>
    <row r="3" spans="1:170" ht="15" customHeight="1" x14ac:dyDescent="0.2">
      <c r="A3" s="40">
        <v>40</v>
      </c>
      <c r="B3" s="77">
        <f>PARAMETROS!B9</f>
        <v>1877.2523333333334</v>
      </c>
      <c r="C3" s="78"/>
      <c r="D3" s="77">
        <f>I18</f>
        <v>611.98350000000005</v>
      </c>
      <c r="F3" s="141" t="s">
        <v>57</v>
      </c>
      <c r="G3" s="141" t="s">
        <v>68</v>
      </c>
      <c r="H3" s="141" t="s">
        <v>69</v>
      </c>
      <c r="I3" s="142" t="s">
        <v>60</v>
      </c>
      <c r="J3" s="141" t="s">
        <v>61</v>
      </c>
      <c r="K3" s="27"/>
    </row>
    <row r="4" spans="1:170" ht="15" customHeight="1" x14ac:dyDescent="0.2">
      <c r="A4" s="41">
        <v>39</v>
      </c>
      <c r="B4" s="79">
        <f>PRODUCT(B$3,A4)/A$3</f>
        <v>1830.321025</v>
      </c>
      <c r="C4" s="80">
        <f>(A4/$A$3*7.5*5)/7*30*$C$46</f>
        <v>991.88839285714278</v>
      </c>
      <c r="D4" s="79">
        <f>IF(B4&lt;C4,C4*$H$18%,B4*$H$18%)</f>
        <v>596.68465415000003</v>
      </c>
      <c r="F4" s="275">
        <v>7</v>
      </c>
      <c r="G4" s="277">
        <v>1050</v>
      </c>
      <c r="H4" s="277">
        <v>4070.1</v>
      </c>
      <c r="I4" s="279">
        <v>1050</v>
      </c>
      <c r="J4" s="279">
        <v>4070.1</v>
      </c>
      <c r="K4" s="8"/>
    </row>
    <row r="5" spans="1:170" ht="15" customHeight="1" x14ac:dyDescent="0.2">
      <c r="A5" s="41">
        <v>38</v>
      </c>
      <c r="B5" s="79">
        <f>PRODUCT(B$3,A5)/A$3</f>
        <v>1783.3897166666666</v>
      </c>
      <c r="C5" s="80">
        <f t="shared" ref="C5:C42" si="0">(A5/$A$3*7.5*5)/7*30*$C$46</f>
        <v>966.45535714285722</v>
      </c>
      <c r="D5" s="79">
        <f t="shared" ref="D5:D42" si="1">IF(B5&lt;C5,C5*$H$18%,B5*$H$18%)</f>
        <v>581.38504763333333</v>
      </c>
      <c r="F5" s="276"/>
      <c r="G5" s="278"/>
      <c r="H5" s="278"/>
      <c r="I5" s="280"/>
      <c r="J5" s="280"/>
      <c r="K5" s="8"/>
    </row>
    <row r="6" spans="1:170" ht="15" customHeight="1" x14ac:dyDescent="0.2">
      <c r="A6" s="41">
        <v>37</v>
      </c>
      <c r="B6" s="79">
        <f t="shared" ref="B6:B42" si="2">PRODUCT(B$3,A6)/A$3</f>
        <v>1736.4584083333334</v>
      </c>
      <c r="C6" s="80">
        <f t="shared" si="0"/>
        <v>941.02232142857156</v>
      </c>
      <c r="D6" s="79">
        <f t="shared" si="1"/>
        <v>566.08544111666674</v>
      </c>
      <c r="F6" s="37"/>
      <c r="G6" s="8"/>
      <c r="H6" s="8"/>
      <c r="I6" s="129"/>
      <c r="J6" s="8"/>
      <c r="K6" s="8"/>
    </row>
    <row r="7" spans="1:170" ht="15" customHeight="1" thickBot="1" x14ac:dyDescent="0.25">
      <c r="A7" s="41">
        <v>36</v>
      </c>
      <c r="B7" s="79">
        <f t="shared" si="2"/>
        <v>1689.5271</v>
      </c>
      <c r="C7" s="80">
        <f t="shared" si="0"/>
        <v>915.58928571428567</v>
      </c>
      <c r="D7" s="79">
        <f t="shared" si="1"/>
        <v>550.78583460000004</v>
      </c>
      <c r="F7" s="37"/>
      <c r="G7" s="19"/>
      <c r="H7" s="8"/>
      <c r="I7" s="129"/>
      <c r="J7" s="8"/>
      <c r="K7" s="8"/>
    </row>
    <row r="8" spans="1:170" ht="15" customHeight="1" x14ac:dyDescent="0.2">
      <c r="A8" s="41">
        <v>35</v>
      </c>
      <c r="B8" s="79">
        <f t="shared" si="2"/>
        <v>1642.5957916666666</v>
      </c>
      <c r="C8" s="80">
        <f t="shared" si="0"/>
        <v>890.15625</v>
      </c>
      <c r="D8" s="79">
        <f t="shared" si="1"/>
        <v>535.48622808333334</v>
      </c>
      <c r="F8" s="211" t="s">
        <v>72</v>
      </c>
      <c r="G8" s="211"/>
      <c r="H8" s="212"/>
      <c r="I8" s="281">
        <v>1877.25</v>
      </c>
      <c r="J8" s="8"/>
      <c r="K8" s="8"/>
    </row>
    <row r="9" spans="1:170" ht="15" customHeight="1" thickBot="1" x14ac:dyDescent="0.25">
      <c r="A9" s="41">
        <v>34</v>
      </c>
      <c r="B9" s="79">
        <f t="shared" si="2"/>
        <v>1595.6644833333335</v>
      </c>
      <c r="C9" s="80">
        <f t="shared" si="0"/>
        <v>864.72321428571433</v>
      </c>
      <c r="D9" s="79">
        <f t="shared" si="1"/>
        <v>520.18662156666676</v>
      </c>
      <c r="F9" s="211"/>
      <c r="G9" s="211"/>
      <c r="H9" s="212"/>
      <c r="I9" s="282"/>
      <c r="J9" s="8"/>
      <c r="K9" s="8"/>
    </row>
    <row r="10" spans="1:170" ht="15" customHeight="1" thickBot="1" x14ac:dyDescent="0.25">
      <c r="A10" s="41">
        <v>33</v>
      </c>
      <c r="B10" s="79">
        <f t="shared" si="2"/>
        <v>1548.7331749999998</v>
      </c>
      <c r="C10" s="80">
        <f t="shared" si="0"/>
        <v>839.29017857142844</v>
      </c>
      <c r="D10" s="79">
        <f t="shared" si="1"/>
        <v>504.88701504999995</v>
      </c>
      <c r="F10" s="137"/>
      <c r="G10" s="138"/>
      <c r="H10" s="139"/>
      <c r="I10" s="140"/>
      <c r="J10" s="8"/>
      <c r="K10" s="8"/>
    </row>
    <row r="11" spans="1:170" ht="15" customHeight="1" x14ac:dyDescent="0.2">
      <c r="A11" s="41">
        <v>32</v>
      </c>
      <c r="B11" s="79">
        <f t="shared" si="2"/>
        <v>1501.8018666666667</v>
      </c>
      <c r="C11" s="80">
        <f t="shared" si="0"/>
        <v>813.85714285714278</v>
      </c>
      <c r="D11" s="79">
        <f t="shared" si="1"/>
        <v>489.58740853333336</v>
      </c>
      <c r="F11" s="217" t="s">
        <v>70</v>
      </c>
      <c r="G11" s="218"/>
      <c r="H11" s="218"/>
      <c r="I11" s="219"/>
      <c r="J11" s="8"/>
      <c r="K11" s="8"/>
    </row>
    <row r="12" spans="1:170" ht="15" customHeight="1" thickBot="1" x14ac:dyDescent="0.25">
      <c r="A12" s="41">
        <v>31</v>
      </c>
      <c r="B12" s="79">
        <f t="shared" si="2"/>
        <v>1454.8705583333335</v>
      </c>
      <c r="C12" s="80">
        <f t="shared" si="0"/>
        <v>788.42410714285711</v>
      </c>
      <c r="D12" s="79">
        <f t="shared" si="1"/>
        <v>474.28780201666672</v>
      </c>
      <c r="F12" s="220"/>
      <c r="G12" s="221"/>
      <c r="H12" s="221"/>
      <c r="I12" s="222"/>
      <c r="J12" s="8"/>
      <c r="K12" s="8"/>
    </row>
    <row r="13" spans="1:170" ht="15" customHeight="1" thickBot="1" x14ac:dyDescent="0.25">
      <c r="A13" s="41">
        <v>30</v>
      </c>
      <c r="B13" s="79">
        <f t="shared" si="2"/>
        <v>1407.9392499999999</v>
      </c>
      <c r="C13" s="80">
        <f t="shared" si="0"/>
        <v>762.99107142857144</v>
      </c>
      <c r="D13" s="79">
        <f t="shared" si="1"/>
        <v>458.98819549999996</v>
      </c>
      <c r="F13" s="134"/>
      <c r="G13" s="154" t="s">
        <v>63</v>
      </c>
      <c r="H13" s="152" t="s">
        <v>64</v>
      </c>
      <c r="I13" s="165" t="s">
        <v>65</v>
      </c>
      <c r="J13" s="8"/>
      <c r="K13" s="8"/>
    </row>
    <row r="14" spans="1:170" ht="15" customHeight="1" x14ac:dyDescent="0.2">
      <c r="A14" s="41">
        <v>29</v>
      </c>
      <c r="B14" s="79">
        <f t="shared" si="2"/>
        <v>1361.0079416666667</v>
      </c>
      <c r="C14" s="80">
        <f t="shared" si="0"/>
        <v>737.55803571428578</v>
      </c>
      <c r="D14" s="79">
        <f t="shared" si="1"/>
        <v>443.68858898333337</v>
      </c>
      <c r="F14" s="228" t="s">
        <v>66</v>
      </c>
      <c r="G14" s="223">
        <f>IF(I8&gt;=G4,I8,G4)</f>
        <v>1877.25</v>
      </c>
      <c r="H14" s="207">
        <v>23.6</v>
      </c>
      <c r="I14" s="209">
        <f>G14*H14%</f>
        <v>443.03100000000001</v>
      </c>
      <c r="J14" s="8"/>
      <c r="K14" s="8"/>
    </row>
    <row r="15" spans="1:170" ht="15" customHeight="1" thickBot="1" x14ac:dyDescent="0.25">
      <c r="A15" s="41">
        <v>28</v>
      </c>
      <c r="B15" s="79">
        <f t="shared" si="2"/>
        <v>1314.0766333333333</v>
      </c>
      <c r="C15" s="80">
        <f t="shared" si="0"/>
        <v>712.125</v>
      </c>
      <c r="D15" s="79">
        <f t="shared" si="1"/>
        <v>428.38898246666668</v>
      </c>
      <c r="F15" s="229"/>
      <c r="G15" s="224"/>
      <c r="H15" s="208"/>
      <c r="I15" s="210"/>
      <c r="J15" s="8"/>
      <c r="K15" s="8"/>
    </row>
    <row r="16" spans="1:170" ht="15" customHeight="1" x14ac:dyDescent="0.2">
      <c r="A16" s="41">
        <v>27</v>
      </c>
      <c r="B16" s="79">
        <f t="shared" si="2"/>
        <v>1267.145325</v>
      </c>
      <c r="C16" s="80">
        <f t="shared" si="0"/>
        <v>686.69196428571422</v>
      </c>
      <c r="D16" s="79">
        <f t="shared" si="1"/>
        <v>413.08937594999998</v>
      </c>
      <c r="F16" s="228" t="s">
        <v>67</v>
      </c>
      <c r="G16" s="223">
        <f>IF(I8&gt;=I4,I8,I4)</f>
        <v>1877.25</v>
      </c>
      <c r="H16" s="207">
        <v>9</v>
      </c>
      <c r="I16" s="209">
        <f>G16*H16%</f>
        <v>168.95249999999999</v>
      </c>
      <c r="J16" s="8"/>
      <c r="K16" s="8"/>
    </row>
    <row r="17" spans="1:11" ht="15" customHeight="1" thickBot="1" x14ac:dyDescent="0.25">
      <c r="A17" s="41">
        <v>26</v>
      </c>
      <c r="B17" s="79">
        <f t="shared" si="2"/>
        <v>1220.2140166666666</v>
      </c>
      <c r="C17" s="80">
        <f t="shared" si="0"/>
        <v>661.25892857142867</v>
      </c>
      <c r="D17" s="79">
        <f t="shared" si="1"/>
        <v>397.78976943333333</v>
      </c>
      <c r="F17" s="229"/>
      <c r="G17" s="224"/>
      <c r="H17" s="208"/>
      <c r="I17" s="210"/>
      <c r="J17" s="8"/>
      <c r="K17" s="8"/>
    </row>
    <row r="18" spans="1:11" ht="15" customHeight="1" thickBot="1" x14ac:dyDescent="0.25">
      <c r="A18" s="41">
        <v>25</v>
      </c>
      <c r="B18" s="79">
        <f t="shared" si="2"/>
        <v>1173.2827083333334</v>
      </c>
      <c r="C18" s="80">
        <f t="shared" si="0"/>
        <v>635.82589285714289</v>
      </c>
      <c r="D18" s="79">
        <f t="shared" si="1"/>
        <v>382.49016291666669</v>
      </c>
      <c r="F18" s="241" t="s">
        <v>71</v>
      </c>
      <c r="G18" s="242"/>
      <c r="H18" s="153">
        <f>(H14+H16)</f>
        <v>32.6</v>
      </c>
      <c r="I18" s="147">
        <f>SUM(I14:I17)</f>
        <v>611.98350000000005</v>
      </c>
      <c r="J18" s="8"/>
      <c r="K18" s="8"/>
    </row>
    <row r="19" spans="1:11" ht="15" customHeight="1" x14ac:dyDescent="0.2">
      <c r="A19" s="41">
        <v>24</v>
      </c>
      <c r="B19" s="79">
        <f t="shared" si="2"/>
        <v>1126.3514</v>
      </c>
      <c r="C19" s="80">
        <f t="shared" si="0"/>
        <v>610.39285714285711</v>
      </c>
      <c r="D19" s="79">
        <f t="shared" si="1"/>
        <v>367.19055639999999</v>
      </c>
      <c r="F19" s="143"/>
      <c r="G19" s="144"/>
      <c r="H19" s="145"/>
      <c r="I19" s="146"/>
      <c r="J19" s="8"/>
      <c r="K19" s="8"/>
    </row>
    <row r="20" spans="1:11" ht="15" customHeight="1" x14ac:dyDescent="0.2">
      <c r="A20" s="41">
        <v>23</v>
      </c>
      <c r="B20" s="79">
        <f t="shared" si="2"/>
        <v>1079.4200916666666</v>
      </c>
      <c r="C20" s="80">
        <f t="shared" si="0"/>
        <v>584.95982142857133</v>
      </c>
      <c r="D20" s="79">
        <f t="shared" si="1"/>
        <v>351.89094988333335</v>
      </c>
      <c r="F20" s="232" t="s">
        <v>87</v>
      </c>
      <c r="G20" s="232"/>
      <c r="H20" s="232"/>
      <c r="I20" s="232"/>
      <c r="J20" s="232"/>
      <c r="K20" s="170"/>
    </row>
    <row r="21" spans="1:11" ht="15" customHeight="1" x14ac:dyDescent="0.2">
      <c r="A21" s="41">
        <v>22</v>
      </c>
      <c r="B21" s="79">
        <f t="shared" si="2"/>
        <v>1032.4887833333335</v>
      </c>
      <c r="C21" s="80">
        <f t="shared" si="0"/>
        <v>559.52678571428578</v>
      </c>
      <c r="D21" s="79">
        <f t="shared" si="1"/>
        <v>336.59134336666671</v>
      </c>
      <c r="F21" s="232"/>
      <c r="G21" s="232"/>
      <c r="H21" s="232"/>
      <c r="I21" s="232"/>
      <c r="J21" s="232"/>
      <c r="K21" s="170"/>
    </row>
    <row r="22" spans="1:11" ht="15" customHeight="1" thickBot="1" x14ac:dyDescent="0.25">
      <c r="A22" s="41">
        <v>21</v>
      </c>
      <c r="B22" s="79">
        <f t="shared" si="2"/>
        <v>985.55747499999995</v>
      </c>
      <c r="C22" s="80">
        <f t="shared" si="0"/>
        <v>534.09375</v>
      </c>
      <c r="D22" s="79">
        <f t="shared" si="1"/>
        <v>321.29173685000001</v>
      </c>
      <c r="F22" s="37"/>
      <c r="G22" s="19"/>
      <c r="H22" s="8"/>
      <c r="I22" s="129"/>
      <c r="J22" s="8"/>
      <c r="K22" s="8"/>
    </row>
    <row r="23" spans="1:11" ht="15" customHeight="1" x14ac:dyDescent="0.2">
      <c r="A23" s="41">
        <v>20</v>
      </c>
      <c r="B23" s="79">
        <f t="shared" si="2"/>
        <v>938.62616666666668</v>
      </c>
      <c r="C23" s="80">
        <f t="shared" si="0"/>
        <v>508.66071428571422</v>
      </c>
      <c r="D23" s="79">
        <f t="shared" si="1"/>
        <v>305.99213033333336</v>
      </c>
      <c r="F23" s="211" t="s">
        <v>73</v>
      </c>
      <c r="G23" s="211"/>
      <c r="H23" s="212"/>
      <c r="I23" s="257">
        <v>0</v>
      </c>
      <c r="J23" s="8"/>
      <c r="K23" s="8"/>
    </row>
    <row r="24" spans="1:11" ht="15" customHeight="1" thickBot="1" x14ac:dyDescent="0.25">
      <c r="A24" s="41">
        <v>19</v>
      </c>
      <c r="B24" s="79">
        <f t="shared" si="2"/>
        <v>891.69485833333329</v>
      </c>
      <c r="C24" s="80">
        <f t="shared" si="0"/>
        <v>483.22767857142861</v>
      </c>
      <c r="D24" s="79">
        <f t="shared" si="1"/>
        <v>290.69252381666666</v>
      </c>
      <c r="F24" s="211"/>
      <c r="G24" s="211"/>
      <c r="H24" s="212"/>
      <c r="I24" s="258"/>
      <c r="J24" s="8"/>
      <c r="K24" s="8"/>
    </row>
    <row r="25" spans="1:11" ht="15" customHeight="1" thickBot="1" x14ac:dyDescent="0.25">
      <c r="A25" s="41">
        <v>18</v>
      </c>
      <c r="B25" s="79">
        <f t="shared" si="2"/>
        <v>844.76355000000001</v>
      </c>
      <c r="C25" s="80">
        <f t="shared" si="0"/>
        <v>457.79464285714283</v>
      </c>
      <c r="D25" s="79">
        <f t="shared" si="1"/>
        <v>275.39291730000002</v>
      </c>
      <c r="F25" s="37"/>
      <c r="G25" s="19"/>
      <c r="H25" s="8"/>
      <c r="I25" s="129"/>
      <c r="J25" s="8"/>
      <c r="K25" s="8"/>
    </row>
    <row r="26" spans="1:11" ht="15" customHeight="1" x14ac:dyDescent="0.2">
      <c r="A26" s="41">
        <v>17</v>
      </c>
      <c r="B26" s="79">
        <f t="shared" si="2"/>
        <v>797.83224166666673</v>
      </c>
      <c r="C26" s="80">
        <f t="shared" si="0"/>
        <v>432.36160714285717</v>
      </c>
      <c r="D26" s="79">
        <f t="shared" si="1"/>
        <v>260.09331078333338</v>
      </c>
      <c r="F26" s="211" t="s">
        <v>78</v>
      </c>
      <c r="G26" s="211"/>
      <c r="H26" s="212"/>
      <c r="I26" s="281">
        <v>0</v>
      </c>
      <c r="J26" s="8"/>
      <c r="K26" s="8"/>
    </row>
    <row r="27" spans="1:11" ht="15" customHeight="1" thickBot="1" x14ac:dyDescent="0.25">
      <c r="A27" s="41">
        <v>16</v>
      </c>
      <c r="B27" s="79">
        <f t="shared" si="2"/>
        <v>750.90093333333334</v>
      </c>
      <c r="C27" s="80">
        <f t="shared" si="0"/>
        <v>406.92857142857139</v>
      </c>
      <c r="D27" s="79">
        <f t="shared" si="1"/>
        <v>244.79370426666668</v>
      </c>
      <c r="F27" s="211"/>
      <c r="G27" s="211"/>
      <c r="H27" s="212"/>
      <c r="I27" s="282"/>
      <c r="J27" s="8"/>
      <c r="K27" s="8"/>
    </row>
    <row r="28" spans="1:11" ht="15" customHeight="1" thickBot="1" x14ac:dyDescent="0.25">
      <c r="A28" s="41">
        <v>15</v>
      </c>
      <c r="B28" s="79">
        <f t="shared" si="2"/>
        <v>703.96962499999995</v>
      </c>
      <c r="C28" s="80">
        <f t="shared" si="0"/>
        <v>381.49553571428572</v>
      </c>
      <c r="D28" s="79">
        <f t="shared" si="1"/>
        <v>229.49409774999998</v>
      </c>
      <c r="F28" s="37"/>
      <c r="G28" s="19"/>
      <c r="H28" s="8"/>
      <c r="I28" s="129"/>
      <c r="J28" s="8"/>
      <c r="K28" s="8"/>
    </row>
    <row r="29" spans="1:11" ht="15" customHeight="1" x14ac:dyDescent="0.2">
      <c r="A29" s="41">
        <v>14</v>
      </c>
      <c r="B29" s="79">
        <f t="shared" si="2"/>
        <v>657.03831666666667</v>
      </c>
      <c r="C29" s="80">
        <f t="shared" si="0"/>
        <v>356.0625</v>
      </c>
      <c r="D29" s="79">
        <f t="shared" si="1"/>
        <v>214.19449123333334</v>
      </c>
      <c r="F29" s="217" t="s">
        <v>74</v>
      </c>
      <c r="G29" s="218"/>
      <c r="H29" s="218"/>
      <c r="I29" s="219"/>
      <c r="J29" s="8"/>
      <c r="K29" s="8"/>
    </row>
    <row r="30" spans="1:11" ht="15" customHeight="1" thickBot="1" x14ac:dyDescent="0.25">
      <c r="A30" s="41">
        <v>13</v>
      </c>
      <c r="B30" s="79">
        <f t="shared" si="2"/>
        <v>610.10700833333328</v>
      </c>
      <c r="C30" s="80">
        <f t="shared" si="0"/>
        <v>330.62946428571433</v>
      </c>
      <c r="D30" s="79">
        <f t="shared" si="1"/>
        <v>198.89488471666667</v>
      </c>
      <c r="F30" s="220"/>
      <c r="G30" s="221"/>
      <c r="H30" s="221"/>
      <c r="I30" s="222"/>
      <c r="J30" s="8"/>
      <c r="K30" s="8"/>
    </row>
    <row r="31" spans="1:11" ht="15" customHeight="1" thickBot="1" x14ac:dyDescent="0.25">
      <c r="A31" s="41">
        <v>12</v>
      </c>
      <c r="B31" s="79">
        <f t="shared" si="2"/>
        <v>563.17570000000001</v>
      </c>
      <c r="C31" s="80">
        <f t="shared" si="0"/>
        <v>305.19642857142856</v>
      </c>
      <c r="D31" s="79">
        <f t="shared" si="1"/>
        <v>183.5952782</v>
      </c>
      <c r="F31" s="156" t="s">
        <v>79</v>
      </c>
      <c r="G31" s="154" t="s">
        <v>63</v>
      </c>
      <c r="H31" s="152" t="s">
        <v>80</v>
      </c>
      <c r="I31" s="136" t="s">
        <v>65</v>
      </c>
      <c r="J31" s="8"/>
      <c r="K31" s="8"/>
    </row>
    <row r="32" spans="1:11" ht="15" customHeight="1" x14ac:dyDescent="0.2">
      <c r="A32" s="41">
        <v>11</v>
      </c>
      <c r="B32" s="79">
        <f t="shared" si="2"/>
        <v>516.24439166666673</v>
      </c>
      <c r="C32" s="80">
        <f t="shared" si="0"/>
        <v>279.76339285714289</v>
      </c>
      <c r="D32" s="79">
        <f t="shared" si="1"/>
        <v>168.29567168333335</v>
      </c>
      <c r="F32" s="283">
        <f>((I23/40*7.5*5)/7)*30*$C$46</f>
        <v>0</v>
      </c>
      <c r="G32" s="205">
        <f>IF(I26&lt;F32,F32,I26)</f>
        <v>0</v>
      </c>
      <c r="H32" s="207">
        <v>32.6</v>
      </c>
      <c r="I32" s="209">
        <f>G32*H32%</f>
        <v>0</v>
      </c>
      <c r="J32" s="8"/>
      <c r="K32" s="8"/>
    </row>
    <row r="33" spans="1:11" ht="15" customHeight="1" thickBot="1" x14ac:dyDescent="0.25">
      <c r="A33" s="41">
        <v>10</v>
      </c>
      <c r="B33" s="79">
        <f t="shared" si="2"/>
        <v>469.31308333333334</v>
      </c>
      <c r="C33" s="80">
        <f t="shared" si="0"/>
        <v>254.33035714285711</v>
      </c>
      <c r="D33" s="79">
        <f t="shared" si="1"/>
        <v>152.99606516666668</v>
      </c>
      <c r="F33" s="204"/>
      <c r="G33" s="206"/>
      <c r="H33" s="208"/>
      <c r="I33" s="210"/>
      <c r="J33" s="8"/>
      <c r="K33" s="8"/>
    </row>
    <row r="34" spans="1:11" ht="15" customHeight="1" thickBot="1" x14ac:dyDescent="0.25">
      <c r="A34" s="41">
        <v>9</v>
      </c>
      <c r="B34" s="79">
        <f t="shared" si="2"/>
        <v>422.381775</v>
      </c>
      <c r="C34" s="80">
        <f t="shared" si="0"/>
        <v>228.89732142857142</v>
      </c>
      <c r="D34" s="79">
        <f t="shared" si="1"/>
        <v>137.69645865000001</v>
      </c>
      <c r="F34" s="198" t="s">
        <v>75</v>
      </c>
      <c r="G34" s="199"/>
      <c r="H34" s="200"/>
      <c r="I34" s="147">
        <f>SUM(I32)</f>
        <v>0</v>
      </c>
      <c r="J34" s="8"/>
      <c r="K34" s="8"/>
    </row>
    <row r="35" spans="1:11" ht="15" customHeight="1" x14ac:dyDescent="0.2">
      <c r="A35" s="41">
        <v>8</v>
      </c>
      <c r="B35" s="79">
        <f t="shared" si="2"/>
        <v>375.45046666666667</v>
      </c>
      <c r="C35" s="80">
        <f t="shared" si="0"/>
        <v>203.46428571428569</v>
      </c>
      <c r="D35" s="79">
        <f t="shared" si="1"/>
        <v>122.39685213333334</v>
      </c>
      <c r="F35" s="37"/>
      <c r="G35" s="19"/>
      <c r="H35" s="8"/>
      <c r="I35" s="129"/>
      <c r="J35" s="8"/>
      <c r="K35" s="155"/>
    </row>
    <row r="36" spans="1:11" ht="15" customHeight="1" x14ac:dyDescent="0.2">
      <c r="A36" s="41">
        <v>7</v>
      </c>
      <c r="B36" s="79">
        <f t="shared" si="2"/>
        <v>328.51915833333334</v>
      </c>
      <c r="C36" s="80">
        <f t="shared" si="0"/>
        <v>178.03125</v>
      </c>
      <c r="D36" s="79">
        <f t="shared" si="1"/>
        <v>107.09724561666667</v>
      </c>
      <c r="F36" s="254" t="s">
        <v>77</v>
      </c>
      <c r="G36" s="254"/>
      <c r="H36" s="254"/>
      <c r="I36" s="202" t="s">
        <v>76</v>
      </c>
      <c r="K36" s="155"/>
    </row>
    <row r="37" spans="1:11" ht="15" customHeight="1" x14ac:dyDescent="0.2">
      <c r="A37" s="41">
        <v>6</v>
      </c>
      <c r="B37" s="79">
        <f t="shared" si="2"/>
        <v>281.58785</v>
      </c>
      <c r="C37" s="80">
        <f t="shared" si="0"/>
        <v>152.59821428571428</v>
      </c>
      <c r="D37" s="79">
        <f t="shared" si="1"/>
        <v>91.797639099999998</v>
      </c>
      <c r="F37" s="254"/>
      <c r="G37" s="254"/>
      <c r="H37" s="254"/>
      <c r="I37" s="202"/>
      <c r="K37" s="155"/>
    </row>
    <row r="38" spans="1:11" ht="15" customHeight="1" x14ac:dyDescent="0.2">
      <c r="A38" s="41">
        <v>5</v>
      </c>
      <c r="B38" s="79">
        <f t="shared" si="2"/>
        <v>234.65654166666667</v>
      </c>
      <c r="C38" s="80">
        <f t="shared" si="0"/>
        <v>127.16517857142856</v>
      </c>
      <c r="D38" s="79">
        <f t="shared" si="1"/>
        <v>76.498032583333341</v>
      </c>
    </row>
    <row r="39" spans="1:11" ht="15" customHeight="1" x14ac:dyDescent="0.2">
      <c r="A39" s="41">
        <v>4</v>
      </c>
      <c r="B39" s="79">
        <f t="shared" si="2"/>
        <v>187.72523333333334</v>
      </c>
      <c r="C39" s="80">
        <f t="shared" si="0"/>
        <v>101.73214285714285</v>
      </c>
      <c r="D39" s="79">
        <f t="shared" si="1"/>
        <v>61.19842606666667</v>
      </c>
    </row>
    <row r="40" spans="1:11" ht="15" customHeight="1" x14ac:dyDescent="0.2">
      <c r="A40" s="41">
        <v>3</v>
      </c>
      <c r="B40" s="79">
        <f t="shared" si="2"/>
        <v>140.793925</v>
      </c>
      <c r="C40" s="80">
        <f t="shared" si="0"/>
        <v>76.299107142857139</v>
      </c>
      <c r="D40" s="79">
        <f t="shared" si="1"/>
        <v>45.898819549999999</v>
      </c>
    </row>
    <row r="41" spans="1:11" ht="15" customHeight="1" x14ac:dyDescent="0.2">
      <c r="A41" s="41">
        <v>2</v>
      </c>
      <c r="B41" s="79">
        <f t="shared" si="2"/>
        <v>93.862616666666668</v>
      </c>
      <c r="C41" s="80">
        <f t="shared" si="0"/>
        <v>50.866071428571423</v>
      </c>
      <c r="D41" s="79">
        <f t="shared" si="1"/>
        <v>30.599213033333335</v>
      </c>
    </row>
    <row r="42" spans="1:11" ht="15" customHeight="1" x14ac:dyDescent="0.2">
      <c r="A42" s="42">
        <v>1</v>
      </c>
      <c r="B42" s="81">
        <f t="shared" si="2"/>
        <v>46.931308333333334</v>
      </c>
      <c r="C42" s="82">
        <f t="shared" si="0"/>
        <v>25.433035714285712</v>
      </c>
      <c r="D42" s="81">
        <f t="shared" si="1"/>
        <v>15.299606516666667</v>
      </c>
    </row>
    <row r="46" spans="1:11" ht="26.25" hidden="1" thickBot="1" x14ac:dyDescent="0.25">
      <c r="B46" s="34" t="s">
        <v>17</v>
      </c>
      <c r="C46" s="35">
        <v>6.33</v>
      </c>
    </row>
  </sheetData>
  <sheetProtection algorithmName="SHA-512" hashValue="tPIYi4ybrXTtUnznicPypvErzdV7O/nrmMBlSJhSblpXUixQi167O2r0gqshtkD8pKhNr6djdTswijhNOsPOKw==" saltValue="NuWB7cxl8y1RVRmP8MgSGw==" spinCount="100000" sheet="1" objects="1" scenarios="1"/>
  <protectedRanges>
    <protectedRange sqref="I36" name="CALCULO RC"/>
    <protectedRange sqref="I8" name="RET TC"/>
    <protectedRange sqref="I23" name="DED"/>
    <protectedRange sqref="I26" name="RET TP"/>
  </protectedRanges>
  <mergeCells count="33">
    <mergeCell ref="I36:I37"/>
    <mergeCell ref="H16:H17"/>
    <mergeCell ref="F36:H37"/>
    <mergeCell ref="F20:J21"/>
    <mergeCell ref="F32:F33"/>
    <mergeCell ref="G32:G33"/>
    <mergeCell ref="H32:H33"/>
    <mergeCell ref="I32:I33"/>
    <mergeCell ref="F34:H34"/>
    <mergeCell ref="F23:H24"/>
    <mergeCell ref="I23:I24"/>
    <mergeCell ref="F26:H27"/>
    <mergeCell ref="I26:I27"/>
    <mergeCell ref="F29:I30"/>
    <mergeCell ref="F16:F17"/>
    <mergeCell ref="G16:G17"/>
    <mergeCell ref="I16:I17"/>
    <mergeCell ref="F18:G18"/>
    <mergeCell ref="F8:H9"/>
    <mergeCell ref="I8:I9"/>
    <mergeCell ref="F11:I12"/>
    <mergeCell ref="F14:F15"/>
    <mergeCell ref="G14:G15"/>
    <mergeCell ref="H14:H15"/>
    <mergeCell ref="I14:I15"/>
    <mergeCell ref="A1:D1"/>
    <mergeCell ref="F2:H2"/>
    <mergeCell ref="I2:J2"/>
    <mergeCell ref="F4:F5"/>
    <mergeCell ref="G4:G5"/>
    <mergeCell ref="H4:H5"/>
    <mergeCell ref="I4:I5"/>
    <mergeCell ref="J4:J5"/>
  </mergeCells>
  <phoneticPr fontId="0" type="noConversion"/>
  <hyperlinks>
    <hyperlink ref="I36:I37" r:id="rId1" display="CALCULO RC"/>
  </hyperlinks>
  <printOptions horizontalCentered="1"/>
  <pageMargins left="1.71875" right="0.94488188976377963" top="0" bottom="0.39370078740157483" header="0" footer="0"/>
  <pageSetup paperSize="9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66"/>
  <sheetViews>
    <sheetView workbookViewId="0">
      <selection activeCell="E25" sqref="E25:F25"/>
    </sheetView>
  </sheetViews>
  <sheetFormatPr baseColWidth="10" defaultRowHeight="12.75" x14ac:dyDescent="0.2"/>
  <cols>
    <col min="1" max="1" width="35.5703125" style="8" customWidth="1"/>
    <col min="2" max="3" width="18.140625" style="106" customWidth="1"/>
    <col min="4" max="4" width="23.5703125" style="8" bestFit="1" customWidth="1"/>
    <col min="5" max="5" width="32" style="8" bestFit="1" customWidth="1"/>
    <col min="6" max="6" width="11.42578125" style="8"/>
    <col min="7" max="7" width="32" style="8" bestFit="1" customWidth="1"/>
    <col min="8" max="8" width="14.42578125" style="101" bestFit="1" customWidth="1"/>
    <col min="9" max="9" width="11.42578125" style="8"/>
    <col min="10" max="11" width="20.85546875" style="8" bestFit="1" customWidth="1"/>
    <col min="12" max="16384" width="11.42578125" style="8"/>
  </cols>
  <sheetData>
    <row r="1" spans="1:8" s="21" customFormat="1" ht="26.25" thickBot="1" x14ac:dyDescent="0.25">
      <c r="A1" s="26" t="s">
        <v>0</v>
      </c>
      <c r="B1" s="94" t="s">
        <v>12</v>
      </c>
      <c r="C1" s="94" t="s">
        <v>10</v>
      </c>
      <c r="H1" s="96"/>
    </row>
    <row r="2" spans="1:8" ht="16.5" customHeight="1" x14ac:dyDescent="0.2">
      <c r="A2" s="11" t="s">
        <v>33</v>
      </c>
      <c r="B2" s="103">
        <f>B16</f>
        <v>2533.5899798611113</v>
      </c>
      <c r="C2" s="103">
        <f>C16</f>
        <v>3293.6669738194446</v>
      </c>
      <c r="D2" s="9"/>
      <c r="E2" s="9"/>
      <c r="G2" s="10"/>
      <c r="H2" s="97"/>
    </row>
    <row r="3" spans="1:8" ht="16.5" customHeight="1" x14ac:dyDescent="0.2">
      <c r="A3" s="11" t="s">
        <v>32</v>
      </c>
      <c r="B3" s="103">
        <f>B23</f>
        <v>2081.1631977430557</v>
      </c>
      <c r="C3" s="103">
        <f>C23</f>
        <v>2705.5121570659721</v>
      </c>
      <c r="D3" s="9"/>
      <c r="E3" s="9"/>
      <c r="G3" s="10"/>
      <c r="H3" s="97"/>
    </row>
    <row r="4" spans="1:8" ht="16.5" customHeight="1" x14ac:dyDescent="0.2">
      <c r="A4" s="11" t="s">
        <v>31</v>
      </c>
      <c r="B4" s="103">
        <f>B30</f>
        <v>0</v>
      </c>
      <c r="C4" s="103">
        <f>C30</f>
        <v>0</v>
      </c>
      <c r="D4" s="16"/>
      <c r="E4" s="16"/>
      <c r="F4" s="36"/>
    </row>
    <row r="5" spans="1:8" ht="16.5" customHeight="1" x14ac:dyDescent="0.2">
      <c r="A5" s="11" t="s">
        <v>39</v>
      </c>
      <c r="B5" s="103">
        <f>B37</f>
        <v>1538.2510592013887</v>
      </c>
      <c r="C5" s="103">
        <f>C37</f>
        <v>1999.7263769618055</v>
      </c>
      <c r="D5" s="36"/>
      <c r="E5" s="36"/>
      <c r="F5" s="149"/>
    </row>
    <row r="6" spans="1:8" ht="16.5" customHeight="1" x14ac:dyDescent="0.2">
      <c r="A6" s="11" t="s">
        <v>40</v>
      </c>
      <c r="B6" s="103">
        <f>B44</f>
        <v>1447.7657027777777</v>
      </c>
      <c r="C6" s="103">
        <f>C44</f>
        <v>1882.0954136111109</v>
      </c>
      <c r="E6" s="36"/>
      <c r="F6" s="149"/>
    </row>
    <row r="7" spans="1:8" ht="18" customHeight="1" x14ac:dyDescent="0.2">
      <c r="A7" s="11" t="s">
        <v>41</v>
      </c>
      <c r="B7" s="103">
        <f>B51</f>
        <v>1357.2803463541668</v>
      </c>
      <c r="C7" s="103">
        <f>C51</f>
        <v>1764.4644502604167</v>
      </c>
      <c r="E7" s="36"/>
      <c r="F7" s="149"/>
    </row>
    <row r="8" spans="1:8" ht="18.75" customHeight="1" x14ac:dyDescent="0.2">
      <c r="A8" s="11" t="s">
        <v>38</v>
      </c>
      <c r="B8" s="103">
        <f>F33</f>
        <v>2185.8546666666671</v>
      </c>
      <c r="C8" s="103"/>
      <c r="E8" s="36"/>
      <c r="F8" s="149"/>
    </row>
    <row r="9" spans="1:8" ht="19.5" customHeight="1" thickBot="1" x14ac:dyDescent="0.25">
      <c r="A9" s="22" t="s">
        <v>35</v>
      </c>
      <c r="B9" s="104">
        <f>F21</f>
        <v>1877.2523333333334</v>
      </c>
      <c r="C9" s="104"/>
      <c r="E9" s="36"/>
      <c r="F9" s="36"/>
    </row>
    <row r="10" spans="1:8" x14ac:dyDescent="0.2">
      <c r="A10" s="23"/>
      <c r="B10" s="105"/>
      <c r="C10" s="105"/>
      <c r="E10" s="36"/>
      <c r="F10" s="36"/>
    </row>
    <row r="11" spans="1:8" x14ac:dyDescent="0.2">
      <c r="E11" s="16"/>
      <c r="F11" s="16"/>
    </row>
    <row r="12" spans="1:8" ht="13.5" thickBot="1" x14ac:dyDescent="0.25">
      <c r="A12" s="14"/>
      <c r="D12" s="14"/>
      <c r="E12" s="17"/>
      <c r="F12" s="17"/>
    </row>
    <row r="13" spans="1:8" ht="26.25" thickBot="1" x14ac:dyDescent="0.25">
      <c r="A13" s="166" t="s">
        <v>33</v>
      </c>
      <c r="B13" s="167" t="s">
        <v>9</v>
      </c>
      <c r="C13" s="168" t="s">
        <v>11</v>
      </c>
      <c r="D13" s="14"/>
      <c r="E13" s="311" t="s">
        <v>29</v>
      </c>
      <c r="F13" s="312"/>
    </row>
    <row r="14" spans="1:8" ht="16.5" customHeight="1" thickTop="1" x14ac:dyDescent="0.2">
      <c r="A14" s="24" t="s">
        <v>13</v>
      </c>
      <c r="B14" s="107">
        <f>(D58)/12</f>
        <v>2451.8612708333335</v>
      </c>
      <c r="C14" s="108">
        <f>(E58)/12</f>
        <v>3187.4196520833334</v>
      </c>
      <c r="D14" s="14"/>
      <c r="E14" s="32" t="s">
        <v>1</v>
      </c>
      <c r="F14" s="98">
        <v>636.01</v>
      </c>
    </row>
    <row r="15" spans="1:8" ht="16.5" customHeight="1" x14ac:dyDescent="0.2">
      <c r="A15" s="24" t="s">
        <v>3</v>
      </c>
      <c r="B15" s="107">
        <f>B14/30*12/12</f>
        <v>81.728709027777782</v>
      </c>
      <c r="C15" s="108">
        <f>C14/30*12/12</f>
        <v>106.24732173611112</v>
      </c>
      <c r="D15" s="14"/>
      <c r="E15" s="32" t="s">
        <v>6</v>
      </c>
      <c r="F15" s="98">
        <v>323.74</v>
      </c>
    </row>
    <row r="16" spans="1:8" ht="16.5" customHeight="1" x14ac:dyDescent="0.2">
      <c r="A16" s="25" t="s">
        <v>30</v>
      </c>
      <c r="B16" s="109">
        <f>SUM(B14:B15)</f>
        <v>2533.5899798611113</v>
      </c>
      <c r="C16" s="110">
        <f>SUM(C14:C15)</f>
        <v>3293.6669738194446</v>
      </c>
      <c r="D16" s="14"/>
      <c r="E16" s="32" t="s">
        <v>7</v>
      </c>
      <c r="F16" s="98">
        <v>596.27</v>
      </c>
    </row>
    <row r="17" spans="1:8" ht="16.5" customHeight="1" x14ac:dyDescent="0.2">
      <c r="A17" s="14"/>
      <c r="D17" s="14"/>
      <c r="E17" s="32" t="s">
        <v>3</v>
      </c>
      <c r="F17" s="98">
        <f>SUM(F14:F16)/30*12/12</f>
        <v>51.867333333333335</v>
      </c>
      <c r="G17" s="8" t="s">
        <v>18</v>
      </c>
    </row>
    <row r="18" spans="1:8" x14ac:dyDescent="0.2">
      <c r="A18" s="14"/>
      <c r="D18" s="14"/>
      <c r="E18" s="32" t="s">
        <v>42</v>
      </c>
      <c r="F18" s="98">
        <v>65.97</v>
      </c>
    </row>
    <row r="19" spans="1:8" x14ac:dyDescent="0.2">
      <c r="A19" s="14"/>
      <c r="D19" s="14"/>
      <c r="E19" s="32"/>
      <c r="F19" s="99"/>
    </row>
    <row r="20" spans="1:8" ht="26.25" thickBot="1" x14ac:dyDescent="0.25">
      <c r="A20" s="166" t="s">
        <v>32</v>
      </c>
      <c r="B20" s="167" t="s">
        <v>9</v>
      </c>
      <c r="C20" s="168" t="s">
        <v>11</v>
      </c>
      <c r="D20" s="14"/>
      <c r="E20" s="32" t="s">
        <v>2</v>
      </c>
      <c r="F20" s="98">
        <f>(630.21+F15+F16)/6</f>
        <v>258.37</v>
      </c>
    </row>
    <row r="21" spans="1:8" ht="16.5" customHeight="1" thickTop="1" thickBot="1" x14ac:dyDescent="0.25">
      <c r="A21" s="24" t="s">
        <v>13</v>
      </c>
      <c r="B21" s="107">
        <f>(D59)/12</f>
        <v>2014.0289010416666</v>
      </c>
      <c r="C21" s="108">
        <f>(E59)/12</f>
        <v>2618.2375713541664</v>
      </c>
      <c r="D21" s="14"/>
      <c r="E21" s="15" t="s">
        <v>36</v>
      </c>
      <c r="F21" s="100">
        <f>SUM(F14:F17)+(F18/6)+F20</f>
        <v>1877.2523333333334</v>
      </c>
      <c r="G21" s="17"/>
      <c r="H21" s="102"/>
    </row>
    <row r="22" spans="1:8" ht="16.5" customHeight="1" x14ac:dyDescent="0.2">
      <c r="A22" s="24" t="s">
        <v>3</v>
      </c>
      <c r="B22" s="107">
        <f>B21/30*12/12</f>
        <v>67.134296701388891</v>
      </c>
      <c r="C22" s="108">
        <f>C21/30*12/12</f>
        <v>87.274585711805528</v>
      </c>
      <c r="D22" s="14"/>
      <c r="F22" s="101"/>
    </row>
    <row r="23" spans="1:8" ht="16.5" customHeight="1" x14ac:dyDescent="0.2">
      <c r="A23" s="25" t="s">
        <v>30</v>
      </c>
      <c r="B23" s="109">
        <f>SUM(B21:B22)</f>
        <v>2081.1631977430557</v>
      </c>
      <c r="C23" s="110">
        <f>SUM(C21:C22)</f>
        <v>2705.5121570659721</v>
      </c>
      <c r="D23" s="14"/>
      <c r="F23" s="101"/>
    </row>
    <row r="24" spans="1:8" ht="13.5" thickBot="1" x14ac:dyDescent="0.25">
      <c r="A24" s="14"/>
      <c r="D24" s="14"/>
      <c r="F24" s="101"/>
    </row>
    <row r="25" spans="1:8" ht="19.5" customHeight="1" thickBot="1" x14ac:dyDescent="0.25">
      <c r="A25" s="14"/>
      <c r="D25" s="14"/>
      <c r="E25" s="311" t="s">
        <v>28</v>
      </c>
      <c r="F25" s="312"/>
    </row>
    <row r="26" spans="1:8" x14ac:dyDescent="0.2">
      <c r="B26" s="111"/>
      <c r="C26" s="111"/>
      <c r="D26" s="18"/>
      <c r="E26" s="32" t="s">
        <v>1</v>
      </c>
      <c r="F26" s="98">
        <v>764.19</v>
      </c>
    </row>
    <row r="27" spans="1:8" ht="29.25" thickBot="1" x14ac:dyDescent="0.25">
      <c r="A27" s="169" t="s">
        <v>31</v>
      </c>
      <c r="B27" s="167" t="s">
        <v>9</v>
      </c>
      <c r="C27" s="168" t="s">
        <v>11</v>
      </c>
      <c r="D27" s="13"/>
      <c r="E27" s="32" t="s">
        <v>4</v>
      </c>
      <c r="F27" s="98">
        <v>419.02</v>
      </c>
    </row>
    <row r="28" spans="1:8" ht="16.5" customHeight="1" thickTop="1" x14ac:dyDescent="0.2">
      <c r="A28" s="24" t="s">
        <v>13</v>
      </c>
      <c r="B28" s="107">
        <f>(D60)/12</f>
        <v>0</v>
      </c>
      <c r="C28" s="108">
        <f>(E60)/12</f>
        <v>0</v>
      </c>
      <c r="D28" s="13"/>
      <c r="E28" s="32" t="s">
        <v>5</v>
      </c>
      <c r="F28" s="98">
        <v>640.88</v>
      </c>
    </row>
    <row r="29" spans="1:8" ht="16.5" customHeight="1" x14ac:dyDescent="0.2">
      <c r="A29" s="24" t="s">
        <v>3</v>
      </c>
      <c r="B29" s="107">
        <v>0</v>
      </c>
      <c r="C29" s="108">
        <v>0</v>
      </c>
      <c r="D29" s="13"/>
      <c r="E29" s="32" t="s">
        <v>3</v>
      </c>
      <c r="F29" s="98">
        <f>SUM(F26:F28)/30*12/12</f>
        <v>60.803000000000004</v>
      </c>
      <c r="G29" s="8" t="s">
        <v>18</v>
      </c>
    </row>
    <row r="30" spans="1:8" ht="16.5" customHeight="1" x14ac:dyDescent="0.2">
      <c r="A30" s="25" t="s">
        <v>30</v>
      </c>
      <c r="B30" s="109">
        <f>SUM(B28:B29)</f>
        <v>0</v>
      </c>
      <c r="C30" s="110">
        <f>SUM(C28:C29)</f>
        <v>0</v>
      </c>
      <c r="D30" s="13"/>
      <c r="E30" s="32" t="s">
        <v>42</v>
      </c>
      <c r="F30" s="98">
        <v>85.39</v>
      </c>
    </row>
    <row r="31" spans="1:8" x14ac:dyDescent="0.2">
      <c r="A31" s="17"/>
      <c r="B31" s="112"/>
      <c r="C31" s="112"/>
      <c r="D31" s="13"/>
      <c r="E31" s="32"/>
      <c r="F31" s="99"/>
    </row>
    <row r="32" spans="1:8" x14ac:dyDescent="0.2">
      <c r="A32" s="17"/>
      <c r="B32" s="112"/>
      <c r="C32" s="112"/>
      <c r="D32" s="13"/>
      <c r="E32" s="32" t="s">
        <v>2</v>
      </c>
      <c r="F32" s="98">
        <f>(660.48+F27+F28)/6</f>
        <v>286.73</v>
      </c>
    </row>
    <row r="33" spans="1:6" ht="13.5" thickBot="1" x14ac:dyDescent="0.25">
      <c r="E33" s="15" t="s">
        <v>37</v>
      </c>
      <c r="F33" s="100">
        <f>SUM(F26:F29)+(F30/6)+F32</f>
        <v>2185.8546666666671</v>
      </c>
    </row>
    <row r="34" spans="1:6" ht="26.25" thickBot="1" x14ac:dyDescent="0.25">
      <c r="A34" s="166" t="s">
        <v>39</v>
      </c>
      <c r="B34" s="167" t="s">
        <v>9</v>
      </c>
      <c r="C34" s="168" t="s">
        <v>11</v>
      </c>
      <c r="D34" s="13"/>
    </row>
    <row r="35" spans="1:6" ht="16.5" customHeight="1" thickTop="1" x14ac:dyDescent="0.2">
      <c r="A35" s="24" t="s">
        <v>13</v>
      </c>
      <c r="B35" s="107">
        <f>(D62)/12</f>
        <v>1488.6300572916664</v>
      </c>
      <c r="C35" s="108">
        <f>(E62)/12</f>
        <v>1935.2190744791667</v>
      </c>
      <c r="D35" s="13"/>
    </row>
    <row r="36" spans="1:6" ht="16.5" customHeight="1" x14ac:dyDescent="0.2">
      <c r="A36" s="24" t="s">
        <v>3</v>
      </c>
      <c r="B36" s="107">
        <f>B35/30*12/12</f>
        <v>49.621001909722203</v>
      </c>
      <c r="C36" s="108">
        <f>C35/30*12/12</f>
        <v>64.507302482638892</v>
      </c>
      <c r="D36" s="13"/>
    </row>
    <row r="37" spans="1:6" ht="16.5" customHeight="1" x14ac:dyDescent="0.2">
      <c r="A37" s="25" t="s">
        <v>30</v>
      </c>
      <c r="B37" s="109">
        <f>SUM(B35:B36)</f>
        <v>1538.2510592013887</v>
      </c>
      <c r="C37" s="110">
        <f>SUM(C35:C36)</f>
        <v>1999.7263769618055</v>
      </c>
      <c r="D37" s="13"/>
    </row>
    <row r="38" spans="1:6" x14ac:dyDescent="0.2">
      <c r="A38" s="17"/>
      <c r="B38" s="112"/>
      <c r="C38" s="112"/>
      <c r="D38" s="13"/>
    </row>
    <row r="39" spans="1:6" x14ac:dyDescent="0.2">
      <c r="A39" s="17"/>
      <c r="B39" s="112"/>
      <c r="C39" s="112"/>
      <c r="D39" s="13"/>
    </row>
    <row r="40" spans="1:6" x14ac:dyDescent="0.2">
      <c r="B40" s="111"/>
      <c r="C40" s="111"/>
      <c r="D40" s="13"/>
    </row>
    <row r="41" spans="1:6" ht="26.25" thickBot="1" x14ac:dyDescent="0.25">
      <c r="A41" s="166" t="s">
        <v>40</v>
      </c>
      <c r="B41" s="167" t="s">
        <v>9</v>
      </c>
      <c r="C41" s="168" t="s">
        <v>11</v>
      </c>
      <c r="D41" s="13"/>
    </row>
    <row r="42" spans="1:6" ht="16.5" customHeight="1" thickTop="1" x14ac:dyDescent="0.2">
      <c r="A42" s="24" t="s">
        <v>13</v>
      </c>
      <c r="B42" s="107">
        <f>(D63)/12</f>
        <v>1401.0635833333333</v>
      </c>
      <c r="C42" s="108">
        <f>(E63)/12</f>
        <v>1821.3826583333332</v>
      </c>
      <c r="D42" s="13"/>
    </row>
    <row r="43" spans="1:6" ht="16.5" customHeight="1" x14ac:dyDescent="0.2">
      <c r="A43" s="24" t="s">
        <v>8</v>
      </c>
      <c r="B43" s="107">
        <f>B42/30*12/12</f>
        <v>46.702119444444442</v>
      </c>
      <c r="C43" s="108">
        <f>C42/30*12/12</f>
        <v>60.712755277777774</v>
      </c>
      <c r="D43" s="13"/>
    </row>
    <row r="44" spans="1:6" ht="16.5" customHeight="1" x14ac:dyDescent="0.2">
      <c r="A44" s="25" t="s">
        <v>30</v>
      </c>
      <c r="B44" s="109">
        <f>SUM(B42:B43)</f>
        <v>1447.7657027777777</v>
      </c>
      <c r="C44" s="110">
        <f>SUM(C42:C43)</f>
        <v>1882.0954136111109</v>
      </c>
      <c r="D44" s="13"/>
    </row>
    <row r="45" spans="1:6" x14ac:dyDescent="0.2">
      <c r="A45" s="17"/>
      <c r="B45" s="112"/>
      <c r="C45" s="112"/>
      <c r="D45" s="13"/>
    </row>
    <row r="46" spans="1:6" x14ac:dyDescent="0.2">
      <c r="A46" s="17"/>
      <c r="B46" s="112"/>
      <c r="C46" s="112"/>
      <c r="D46" s="13"/>
    </row>
    <row r="47" spans="1:6" x14ac:dyDescent="0.2">
      <c r="A47" s="12"/>
      <c r="B47" s="95"/>
      <c r="C47" s="95"/>
      <c r="D47" s="13"/>
    </row>
    <row r="48" spans="1:6" ht="26.25" thickBot="1" x14ac:dyDescent="0.25">
      <c r="A48" s="166" t="s">
        <v>41</v>
      </c>
      <c r="B48" s="167" t="s">
        <v>9</v>
      </c>
      <c r="C48" s="168" t="s">
        <v>11</v>
      </c>
      <c r="D48" s="13"/>
    </row>
    <row r="49" spans="1:11" ht="16.5" customHeight="1" thickTop="1" x14ac:dyDescent="0.2">
      <c r="A49" s="24" t="s">
        <v>13</v>
      </c>
      <c r="B49" s="107">
        <f>(D64)/12</f>
        <v>1313.497109375</v>
      </c>
      <c r="C49" s="108">
        <f>(E64)/12</f>
        <v>1707.5462421875</v>
      </c>
    </row>
    <row r="50" spans="1:11" ht="16.5" customHeight="1" x14ac:dyDescent="0.2">
      <c r="A50" s="24" t="s">
        <v>3</v>
      </c>
      <c r="B50" s="107">
        <f>B49/30*12/12</f>
        <v>43.783236979166666</v>
      </c>
      <c r="C50" s="108">
        <f>C49/30*12/12</f>
        <v>56.918208072916663</v>
      </c>
      <c r="D50" s="19"/>
    </row>
    <row r="51" spans="1:11" ht="16.5" customHeight="1" x14ac:dyDescent="0.2">
      <c r="A51" s="25" t="s">
        <v>30</v>
      </c>
      <c r="B51" s="109">
        <f>SUM(B49:B50)</f>
        <v>1357.2803463541668</v>
      </c>
      <c r="C51" s="110">
        <f>SUM(C49:C50)</f>
        <v>1764.4644502604167</v>
      </c>
      <c r="D51" s="20"/>
    </row>
    <row r="52" spans="1:11" x14ac:dyDescent="0.2">
      <c r="D52" s="18"/>
    </row>
    <row r="54" spans="1:11" ht="13.5" thickBot="1" x14ac:dyDescent="0.25"/>
    <row r="55" spans="1:11" ht="12.75" customHeight="1" x14ac:dyDescent="0.2">
      <c r="A55" s="297" t="s">
        <v>56</v>
      </c>
      <c r="B55" s="297"/>
      <c r="C55" s="313"/>
      <c r="D55" s="28" t="s">
        <v>19</v>
      </c>
      <c r="E55" s="28" t="s">
        <v>19</v>
      </c>
      <c r="G55" s="297" t="s">
        <v>49</v>
      </c>
      <c r="H55" s="297"/>
      <c r="I55" s="293"/>
      <c r="J55" s="121" t="s">
        <v>19</v>
      </c>
      <c r="K55" s="121" t="s">
        <v>19</v>
      </c>
    </row>
    <row r="56" spans="1:11" ht="13.5" thickBot="1" x14ac:dyDescent="0.25">
      <c r="A56" s="298"/>
      <c r="B56" s="298"/>
      <c r="C56" s="314"/>
      <c r="D56" s="29" t="s">
        <v>20</v>
      </c>
      <c r="E56" s="29" t="s">
        <v>21</v>
      </c>
      <c r="G56" s="298"/>
      <c r="H56" s="298"/>
      <c r="I56" s="294"/>
      <c r="J56" s="122" t="s">
        <v>20</v>
      </c>
      <c r="K56" s="122" t="s">
        <v>21</v>
      </c>
    </row>
    <row r="57" spans="1:11" ht="15" thickBot="1" x14ac:dyDescent="0.25">
      <c r="A57" s="299" t="s">
        <v>22</v>
      </c>
      <c r="B57" s="300"/>
      <c r="C57" s="300"/>
      <c r="D57" s="300"/>
      <c r="E57" s="302"/>
      <c r="G57" s="284" t="s">
        <v>22</v>
      </c>
      <c r="H57" s="285"/>
      <c r="I57" s="285"/>
      <c r="J57" s="285"/>
      <c r="K57" s="286"/>
    </row>
    <row r="58" spans="1:11" ht="18" customHeight="1" x14ac:dyDescent="0.2">
      <c r="A58" s="303"/>
      <c r="B58" s="309" t="s">
        <v>43</v>
      </c>
      <c r="C58" s="310"/>
      <c r="D58" s="118">
        <f>2.25%*J58+J58</f>
        <v>29422.33525</v>
      </c>
      <c r="E58" s="118">
        <f>2.25%*K58+K58</f>
        <v>38249.035824999999</v>
      </c>
      <c r="G58" s="287"/>
      <c r="H58" s="295" t="s">
        <v>43</v>
      </c>
      <c r="I58" s="296"/>
      <c r="J58" s="123">
        <v>28774.9</v>
      </c>
      <c r="K58" s="123">
        <v>37407.370000000003</v>
      </c>
    </row>
    <row r="59" spans="1:11" ht="18" customHeight="1" x14ac:dyDescent="0.2">
      <c r="A59" s="303"/>
      <c r="B59" s="309" t="s">
        <v>44</v>
      </c>
      <c r="C59" s="310"/>
      <c r="D59" s="118">
        <f>2.25%*J59+J59</f>
        <v>24168.3468125</v>
      </c>
      <c r="E59" s="118">
        <f>2.25%*K59+K59</f>
        <v>31418.850856249999</v>
      </c>
      <c r="G59" s="287"/>
      <c r="H59" s="295" t="s">
        <v>44</v>
      </c>
      <c r="I59" s="296"/>
      <c r="J59" s="123">
        <v>23636.525000000001</v>
      </c>
      <c r="K59" s="123">
        <v>30727.482499999998</v>
      </c>
    </row>
    <row r="60" spans="1:11" ht="18" customHeight="1" thickBot="1" x14ac:dyDescent="0.25">
      <c r="A60" s="303"/>
      <c r="B60" s="309" t="s">
        <v>23</v>
      </c>
      <c r="C60" s="310"/>
      <c r="D60" s="157"/>
      <c r="E60" s="118"/>
      <c r="G60" s="287"/>
      <c r="H60" s="295" t="s">
        <v>23</v>
      </c>
      <c r="I60" s="296"/>
      <c r="J60" s="123">
        <v>16422</v>
      </c>
      <c r="K60" s="123">
        <v>24947</v>
      </c>
    </row>
    <row r="61" spans="1:11" ht="15" thickBot="1" x14ac:dyDescent="0.25">
      <c r="A61" s="299" t="s">
        <v>24</v>
      </c>
      <c r="B61" s="300"/>
      <c r="C61" s="300"/>
      <c r="D61" s="301"/>
      <c r="E61" s="302"/>
      <c r="G61" s="284" t="s">
        <v>24</v>
      </c>
      <c r="H61" s="285"/>
      <c r="I61" s="285"/>
      <c r="J61" s="285"/>
      <c r="K61" s="286"/>
    </row>
    <row r="62" spans="1:11" ht="18" customHeight="1" x14ac:dyDescent="0.2">
      <c r="A62" s="303"/>
      <c r="B62" s="305" t="s">
        <v>25</v>
      </c>
      <c r="C62" s="305"/>
      <c r="D62" s="119">
        <f t="shared" ref="D62:E64" si="0">2.25%*J62+J62</f>
        <v>17863.560687499998</v>
      </c>
      <c r="E62" s="119">
        <f t="shared" si="0"/>
        <v>23222.628893749999</v>
      </c>
      <c r="G62" s="287"/>
      <c r="H62" s="289" t="s">
        <v>25</v>
      </c>
      <c r="I62" s="289"/>
      <c r="J62" s="124">
        <v>17470.474999999999</v>
      </c>
      <c r="K62" s="124">
        <v>22711.6175</v>
      </c>
    </row>
    <row r="63" spans="1:11" ht="18" customHeight="1" x14ac:dyDescent="0.2">
      <c r="A63" s="303"/>
      <c r="B63" s="306" t="s">
        <v>26</v>
      </c>
      <c r="C63" s="306"/>
      <c r="D63" s="120">
        <f t="shared" si="0"/>
        <v>16812.762999999999</v>
      </c>
      <c r="E63" s="120">
        <f t="shared" si="0"/>
        <v>21856.591899999999</v>
      </c>
      <c r="G63" s="287"/>
      <c r="H63" s="290" t="s">
        <v>26</v>
      </c>
      <c r="I63" s="290"/>
      <c r="J63" s="125">
        <v>16442.8</v>
      </c>
      <c r="K63" s="125">
        <v>21375.64</v>
      </c>
    </row>
    <row r="64" spans="1:11" ht="18" customHeight="1" x14ac:dyDescent="0.2">
      <c r="A64" s="303"/>
      <c r="B64" s="307" t="s">
        <v>27</v>
      </c>
      <c r="C64" s="307"/>
      <c r="D64" s="120">
        <f t="shared" si="0"/>
        <v>15761.9653125</v>
      </c>
      <c r="E64" s="120">
        <f t="shared" si="0"/>
        <v>20490.554906249999</v>
      </c>
      <c r="G64" s="287"/>
      <c r="H64" s="291" t="s">
        <v>27</v>
      </c>
      <c r="I64" s="291"/>
      <c r="J64" s="126">
        <v>15415.125</v>
      </c>
      <c r="K64" s="126">
        <v>20039.662499999999</v>
      </c>
    </row>
    <row r="65" spans="1:11" ht="18" customHeight="1" x14ac:dyDescent="0.2">
      <c r="A65" s="303"/>
      <c r="B65" s="307" t="s">
        <v>28</v>
      </c>
      <c r="C65" s="307"/>
      <c r="D65" s="30"/>
      <c r="E65" s="30"/>
      <c r="G65" s="287"/>
      <c r="H65" s="291" t="s">
        <v>28</v>
      </c>
      <c r="I65" s="291"/>
      <c r="J65" s="127"/>
      <c r="K65" s="127"/>
    </row>
    <row r="66" spans="1:11" ht="18" customHeight="1" thickBot="1" x14ac:dyDescent="0.25">
      <c r="A66" s="304"/>
      <c r="B66" s="308" t="s">
        <v>29</v>
      </c>
      <c r="C66" s="308"/>
      <c r="D66" s="31"/>
      <c r="E66" s="31"/>
      <c r="G66" s="288"/>
      <c r="H66" s="292" t="s">
        <v>29</v>
      </c>
      <c r="I66" s="292"/>
      <c r="J66" s="128"/>
      <c r="K66" s="128"/>
    </row>
  </sheetData>
  <mergeCells count="30">
    <mergeCell ref="B60:C60"/>
    <mergeCell ref="B59:C59"/>
    <mergeCell ref="B58:C58"/>
    <mergeCell ref="A58:A60"/>
    <mergeCell ref="E13:F13"/>
    <mergeCell ref="A55:B56"/>
    <mergeCell ref="C55:C56"/>
    <mergeCell ref="A57:E57"/>
    <mergeCell ref="E25:F25"/>
    <mergeCell ref="A61:E61"/>
    <mergeCell ref="A62:A66"/>
    <mergeCell ref="B62:C62"/>
    <mergeCell ref="B63:C63"/>
    <mergeCell ref="B64:C64"/>
    <mergeCell ref="B65:C65"/>
    <mergeCell ref="B66:C66"/>
    <mergeCell ref="I55:I56"/>
    <mergeCell ref="G57:K57"/>
    <mergeCell ref="G58:G60"/>
    <mergeCell ref="H58:I58"/>
    <mergeCell ref="H59:I59"/>
    <mergeCell ref="H60:I60"/>
    <mergeCell ref="G55:H56"/>
    <mergeCell ref="G61:K61"/>
    <mergeCell ref="G62:G66"/>
    <mergeCell ref="H62:I62"/>
    <mergeCell ref="H63:I63"/>
    <mergeCell ref="H64:I64"/>
    <mergeCell ref="H65:I65"/>
    <mergeCell ref="H66:I66"/>
  </mergeCells>
  <phoneticPr fontId="0" type="noConversion"/>
  <pageMargins left="0.74803149606299213" right="0.31496062992125984" top="0.98425196850393704" bottom="0.9842519685039370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14</vt:i4>
      </vt:variant>
    </vt:vector>
  </HeadingPairs>
  <TitlesOfParts>
    <vt:vector size="23" baseType="lpstr">
      <vt:lpstr>INVESTIGADOR SENIOR</vt:lpstr>
      <vt:lpstr>INVESTIGADOR JUNIOR</vt:lpstr>
      <vt:lpstr>INVESTIGADOR EN FORMACIÓN</vt:lpstr>
      <vt:lpstr>TITULADOS SUPERIORES I</vt:lpstr>
      <vt:lpstr>TITULADOS SUPERIORES II</vt:lpstr>
      <vt:lpstr>TITULADOS DE GRADO MEDIO</vt:lpstr>
      <vt:lpstr>ESPECIALISTAS TECNICOS</vt:lpstr>
      <vt:lpstr>AUXILIARES</vt:lpstr>
      <vt:lpstr>PARAMETROS</vt:lpstr>
      <vt:lpstr>AUXILIARES!Área_de_impresión</vt:lpstr>
      <vt:lpstr>'INVESTIGADOR EN FORMACIÓN'!Área_de_impresión</vt:lpstr>
      <vt:lpstr>'INVESTIGADOR JUNIOR'!Área_de_impresión</vt:lpstr>
      <vt:lpstr>'INVESTIGADOR SENIOR'!Área_de_impresión</vt:lpstr>
      <vt:lpstr>'TITULADOS DE GRADO MEDIO'!Área_de_impresión</vt:lpstr>
      <vt:lpstr>'TITULADOS SUPERIORES I'!Área_de_impresión</vt:lpstr>
      <vt:lpstr>'TITULADOS SUPERIORES II'!Área_de_impresión</vt:lpstr>
      <vt:lpstr>AUXILIARES!Títulos_a_imprimir</vt:lpstr>
      <vt:lpstr>'INVESTIGADOR EN FORMACIÓN'!Títulos_a_imprimir</vt:lpstr>
      <vt:lpstr>'INVESTIGADOR JUNIOR'!Títulos_a_imprimir</vt:lpstr>
      <vt:lpstr>'INVESTIGADOR SENIOR'!Títulos_a_imprimir</vt:lpstr>
      <vt:lpstr>'TITULADOS DE GRADO MEDIO'!Títulos_a_imprimir</vt:lpstr>
      <vt:lpstr>'TITULADOS SUPERIORES I'!Títulos_a_imprimir</vt:lpstr>
      <vt:lpstr>'TITULADOS SUPERIORES II'!Títulos_a_imprimir</vt:lpstr>
    </vt:vector>
  </TitlesOfParts>
  <Company>oscar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gcremades@umh.es</dc:creator>
  <cp:lastModifiedBy>Cremades Cremades, Gloria</cp:lastModifiedBy>
  <cp:lastPrinted>2017-08-03T06:47:25Z</cp:lastPrinted>
  <dcterms:created xsi:type="dcterms:W3CDTF">2003-11-11T19:24:53Z</dcterms:created>
  <dcterms:modified xsi:type="dcterms:W3CDTF">2019-10-21T13:05:02Z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1648575215</vt:i4>
  </property>
  <property fmtid="{D5CDD505-2E9C-101B-9397-08002B2CF9AE}" pid="3" name="_EmailSubject">
    <vt:lpwstr/>
  </property>
  <property fmtid="{D5CDD505-2E9C-101B-9397-08002B2CF9AE}" pid="4" name="_AuthorEmail">
    <vt:lpwstr>cristina.aguilar@umh.es</vt:lpwstr>
  </property>
  <property fmtid="{D5CDD505-2E9C-101B-9397-08002B2CF9AE}" pid="5" name="_AuthorEmailDisplayName">
    <vt:lpwstr>Aguilar Santos, Cristina</vt:lpwstr>
  </property>
  <property fmtid="{D5CDD505-2E9C-101B-9397-08002B2CF9AE}" pid="6" name="_PreviousAdHocReviewCycleID">
    <vt:i4>-1341627671</vt:i4>
  </property>
  <property fmtid="{D5CDD505-2E9C-101B-9397-08002B2CF9AE}" pid="7" name="_ReviewingToolsShownOnce">
    <vt:lpwstr/>
  </property>
</Properties>
</file>